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综合成绩" sheetId="8" r:id="rId1"/>
  </sheets>
  <definedNames>
    <definedName name="_xlnm.Print_Area" localSheetId="0">综合成绩!$A$1:$K$185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<sst xmlns="http://schemas.openxmlformats.org/spreadsheetml/2006/main" count="612" uniqueCount="128">
  <si>
    <t>2021年邵阳市大祥区公开招聘中小学、幼儿园教师综合成绩</t>
  </si>
  <si>
    <t>序号</t>
  </si>
  <si>
    <t>姓名</t>
  </si>
  <si>
    <t>性别</t>
  </si>
  <si>
    <t>民族</t>
  </si>
  <si>
    <t>准考证号</t>
  </si>
  <si>
    <t>报考岗位</t>
  </si>
  <si>
    <t>职位名称</t>
  </si>
  <si>
    <t>职位代码</t>
  </si>
  <si>
    <t>笔试成绩</t>
  </si>
  <si>
    <t>面试成绩</t>
  </si>
  <si>
    <t>综合成绩</t>
  </si>
  <si>
    <t>农村中学</t>
  </si>
  <si>
    <t>语文</t>
  </si>
  <si>
    <t>生物</t>
  </si>
  <si>
    <t>城区中学</t>
  </si>
  <si>
    <t>数学(应)</t>
  </si>
  <si>
    <t>政治</t>
  </si>
  <si>
    <t>申欢洁</t>
  </si>
  <si>
    <t>女</t>
  </si>
  <si>
    <t>汉族</t>
  </si>
  <si>
    <t>202115010727</t>
  </si>
  <si>
    <t>城区小学</t>
  </si>
  <si>
    <t>15</t>
  </si>
  <si>
    <t>肖嘉怡</t>
  </si>
  <si>
    <t>202115010323</t>
  </si>
  <si>
    <t>黄丹娜</t>
  </si>
  <si>
    <t>202115011309</t>
  </si>
  <si>
    <t>郭月娟</t>
  </si>
  <si>
    <t>202115010411</t>
  </si>
  <si>
    <t>莫叶</t>
  </si>
  <si>
    <t>202115011406</t>
  </si>
  <si>
    <t>段素红</t>
  </si>
  <si>
    <t>202115011212</t>
  </si>
  <si>
    <t>田倩</t>
  </si>
  <si>
    <t>土家族</t>
  </si>
  <si>
    <t>202116012008</t>
  </si>
  <si>
    <t>语文（应）</t>
  </si>
  <si>
    <t>16</t>
  </si>
  <si>
    <t>黄媛媛</t>
  </si>
  <si>
    <t>202116011908</t>
  </si>
  <si>
    <t>黄碧如</t>
  </si>
  <si>
    <t>202116012003</t>
  </si>
  <si>
    <t>伍爱玲</t>
  </si>
  <si>
    <t>苗族</t>
  </si>
  <si>
    <t>202116011705</t>
  </si>
  <si>
    <t>喻丹丹</t>
  </si>
  <si>
    <t>202116011717</t>
  </si>
  <si>
    <t>杨晴</t>
  </si>
  <si>
    <t>202116012004</t>
  </si>
  <si>
    <t>数学</t>
  </si>
  <si>
    <t>音乐</t>
  </si>
  <si>
    <t>0</t>
  </si>
  <si>
    <t>音乐（应）</t>
  </si>
  <si>
    <t>体育</t>
  </si>
  <si>
    <t>体育（应）</t>
  </si>
  <si>
    <t>美术</t>
  </si>
  <si>
    <t>美术（应）</t>
  </si>
  <si>
    <t>政治（应）</t>
  </si>
  <si>
    <t>姚莉</t>
  </si>
  <si>
    <t>202127013401</t>
  </si>
  <si>
    <t>农村小学</t>
  </si>
  <si>
    <t>27</t>
  </si>
  <si>
    <t>李薇</t>
  </si>
  <si>
    <t>202127012223</t>
  </si>
  <si>
    <t>林灿</t>
  </si>
  <si>
    <t>202127012217</t>
  </si>
  <si>
    <t>王小娟</t>
  </si>
  <si>
    <t>202127014204</t>
  </si>
  <si>
    <t>林莎莎</t>
  </si>
  <si>
    <t>202127012422</t>
  </si>
  <si>
    <t>李春花</t>
  </si>
  <si>
    <t>202127013102</t>
  </si>
  <si>
    <t>黄敏</t>
  </si>
  <si>
    <t>202127013818</t>
  </si>
  <si>
    <t>张欣</t>
  </si>
  <si>
    <t>202127012216</t>
  </si>
  <si>
    <t>洪花</t>
  </si>
  <si>
    <t>202127014008</t>
  </si>
  <si>
    <t>邓利平</t>
  </si>
  <si>
    <t>202127014028</t>
  </si>
  <si>
    <t>龙玉红</t>
  </si>
  <si>
    <t>202127012713</t>
  </si>
  <si>
    <t>陈溪溪</t>
  </si>
  <si>
    <t>202127013105</t>
  </si>
  <si>
    <t>肖榕</t>
  </si>
  <si>
    <t>202127012809</t>
  </si>
  <si>
    <t>潘泽燕</t>
  </si>
  <si>
    <t>202127013002</t>
  </si>
  <si>
    <t>马秀雯</t>
  </si>
  <si>
    <t>满族</t>
  </si>
  <si>
    <t>202128020528</t>
  </si>
  <si>
    <t>28</t>
  </si>
  <si>
    <t>田倩菁</t>
  </si>
  <si>
    <t>202128020710</t>
  </si>
  <si>
    <t>戴秀</t>
  </si>
  <si>
    <t>202128020908</t>
  </si>
  <si>
    <t>李梦谭</t>
  </si>
  <si>
    <t>202128020412</t>
  </si>
  <si>
    <t>刘芳瑜</t>
  </si>
  <si>
    <t>202128020918</t>
  </si>
  <si>
    <t>朱雨蕾</t>
  </si>
  <si>
    <t>202128020301</t>
  </si>
  <si>
    <t>李丝</t>
  </si>
  <si>
    <t>202128020610</t>
  </si>
  <si>
    <t>黄孟琪</t>
  </si>
  <si>
    <t>202128020419</t>
  </si>
  <si>
    <t>吴媛媛</t>
  </si>
  <si>
    <t>202128020713</t>
  </si>
  <si>
    <t>杨艮春</t>
  </si>
  <si>
    <t>202128020805</t>
  </si>
  <si>
    <t>郑楚慧</t>
  </si>
  <si>
    <t>202128020605</t>
  </si>
  <si>
    <t>陶姣倩</t>
  </si>
  <si>
    <t>202128020226</t>
  </si>
  <si>
    <t>曾慧娟</t>
  </si>
  <si>
    <t>202128020420</t>
  </si>
  <si>
    <t>刘慧</t>
  </si>
  <si>
    <t>202128020430</t>
  </si>
  <si>
    <t>陈雅芝</t>
  </si>
  <si>
    <t>202128020930</t>
  </si>
  <si>
    <t>蒋薇</t>
  </si>
  <si>
    <t>202128020405</t>
  </si>
  <si>
    <t>英语</t>
  </si>
  <si>
    <t>英语（应）</t>
  </si>
  <si>
    <t>幼儿园</t>
  </si>
  <si>
    <t>幼儿园（应）</t>
  </si>
  <si>
    <t>物理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</si>
</sst>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3"/>
      <color theme="1"/>
      <name val="仿宋"/>
      <charset val="134"/>
    </font>
    <font>
      <sz val="13"/>
      <color rgb="FF000000"/>
      <name val="仿宋"/>
      <charset val="134"/>
    </font>
    <font>
      <sz val="13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5"/>
  <sheetViews>
    <sheetView tabSelected="1" workbookViewId="0">
      <pane ySplit="2" topLeftCell="A110" activePane="bottomLeft" state="frozen"/>
      <selection/>
      <selection pane="bottomLeft" activeCell="A115" sqref="$A115:$XFD115"/>
    </sheetView>
  </sheetViews>
  <sheetFormatPr defaultColWidth="9" defaultRowHeight="14.4"/>
  <cols>
    <col min="3" max="3" width="6" customWidth="1"/>
    <col min="5" max="5" width="16" customWidth="1"/>
    <col min="6" max="6" width="9.75" customWidth="1"/>
    <col min="7" max="7" width="15.3796296296296" customWidth="1"/>
    <col min="10" max="10" width="11.1296296296296" customWidth="1"/>
    <col min="11" max="11" width="9.75" customWidth="1"/>
  </cols>
  <sheetData>
    <row r="1" ht="4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30" customHeight="1" spans="1:11">
      <c r="A3" s="3">
        <v>8</v>
      </c>
      <c r="B3" s="3" t="str">
        <f>"罗璐璐"</f>
        <v>罗璐璐</v>
      </c>
      <c r="C3" s="3" t="str">
        <f>"女"</f>
        <v>女</v>
      </c>
      <c r="D3" s="3" t="str">
        <f>"汉族"</f>
        <v>汉族</v>
      </c>
      <c r="E3" s="3" t="str">
        <f>"202101021104"</f>
        <v>202101021104</v>
      </c>
      <c r="F3" s="4" t="s">
        <v>12</v>
      </c>
      <c r="G3" s="3" t="s">
        <v>13</v>
      </c>
      <c r="H3" s="3" t="str">
        <f>"1"</f>
        <v>1</v>
      </c>
      <c r="I3" s="7">
        <v>71.5</v>
      </c>
      <c r="J3" s="7">
        <v>84.1</v>
      </c>
      <c r="K3" s="8">
        <v>76.54</v>
      </c>
    </row>
    <row r="4" ht="30" customHeight="1" spans="1:11">
      <c r="A4" s="3">
        <v>7</v>
      </c>
      <c r="B4" s="3" t="str">
        <f>"周路佳"</f>
        <v>周路佳</v>
      </c>
      <c r="C4" s="3" t="str">
        <f>"女"</f>
        <v>女</v>
      </c>
      <c r="D4" s="3" t="str">
        <f>"汉族"</f>
        <v>汉族</v>
      </c>
      <c r="E4" s="3" t="str">
        <f>"202101021108"</f>
        <v>202101021108</v>
      </c>
      <c r="F4" s="4" t="s">
        <v>12</v>
      </c>
      <c r="G4" s="3" t="s">
        <v>13</v>
      </c>
      <c r="H4" s="3" t="str">
        <f>"1"</f>
        <v>1</v>
      </c>
      <c r="I4" s="7">
        <v>72.65</v>
      </c>
      <c r="J4" s="7">
        <v>82</v>
      </c>
      <c r="K4" s="8">
        <v>76.39</v>
      </c>
    </row>
    <row r="5" ht="30" customHeight="1" spans="1:11">
      <c r="A5" s="3">
        <v>11</v>
      </c>
      <c r="B5" s="3" t="str">
        <f>"朱婷婷"</f>
        <v>朱婷婷</v>
      </c>
      <c r="C5" s="3" t="str">
        <f>"女"</f>
        <v>女</v>
      </c>
      <c r="D5" s="3" t="str">
        <f>"汉族"</f>
        <v>汉族</v>
      </c>
      <c r="E5" s="3" t="str">
        <f>"202110040106"</f>
        <v>202110040106</v>
      </c>
      <c r="F5" s="4" t="s">
        <v>12</v>
      </c>
      <c r="G5" s="3" t="s">
        <v>14</v>
      </c>
      <c r="H5" s="3" t="str">
        <f>"10"</f>
        <v>10</v>
      </c>
      <c r="I5" s="7">
        <v>87.05</v>
      </c>
      <c r="J5" s="7">
        <v>84</v>
      </c>
      <c r="K5" s="8">
        <v>85.83</v>
      </c>
    </row>
    <row r="6" ht="30" customHeight="1" spans="1:11">
      <c r="A6" s="3">
        <v>14</v>
      </c>
      <c r="B6" s="3" t="str">
        <f>"李勇"</f>
        <v>李勇</v>
      </c>
      <c r="C6" s="3" t="str">
        <f>"男"</f>
        <v>男</v>
      </c>
      <c r="D6" s="3" t="str">
        <f>"汉族"</f>
        <v>汉族</v>
      </c>
      <c r="E6" s="3" t="str">
        <f>"202110040109"</f>
        <v>202110040109</v>
      </c>
      <c r="F6" s="4" t="s">
        <v>12</v>
      </c>
      <c r="G6" s="3" t="s">
        <v>14</v>
      </c>
      <c r="H6" s="3" t="str">
        <f>"10"</f>
        <v>10</v>
      </c>
      <c r="I6" s="7">
        <v>83.55</v>
      </c>
      <c r="J6" s="7">
        <v>88.8</v>
      </c>
      <c r="K6" s="8">
        <v>85.65</v>
      </c>
    </row>
    <row r="7" ht="30" customHeight="1" spans="1:11">
      <c r="A7" s="3">
        <v>34</v>
      </c>
      <c r="B7" s="3" t="str">
        <f>"马阿香"</f>
        <v>马阿香</v>
      </c>
      <c r="C7" s="3" t="str">
        <f>"女"</f>
        <v>女</v>
      </c>
      <c r="D7" s="3" t="str">
        <f>"回族"</f>
        <v>回族</v>
      </c>
      <c r="E7" s="3" t="str">
        <f>"202111021320"</f>
        <v>202111021320</v>
      </c>
      <c r="F7" s="3" t="s">
        <v>15</v>
      </c>
      <c r="G7" s="3" t="s">
        <v>13</v>
      </c>
      <c r="H7" s="3" t="str">
        <f>"11"</f>
        <v>11</v>
      </c>
      <c r="I7" s="7">
        <v>78.65</v>
      </c>
      <c r="J7" s="7">
        <v>88.82</v>
      </c>
      <c r="K7" s="8">
        <v>82.718</v>
      </c>
    </row>
    <row r="8" ht="30" customHeight="1" spans="1:11">
      <c r="A8" s="3">
        <v>80</v>
      </c>
      <c r="B8" s="3" t="str">
        <f>"唐毅儒"</f>
        <v>唐毅儒</v>
      </c>
      <c r="C8" s="3" t="str">
        <f>"女"</f>
        <v>女</v>
      </c>
      <c r="D8" s="3" t="str">
        <f t="shared" ref="D8:D14" si="0">"汉族"</f>
        <v>汉族</v>
      </c>
      <c r="E8" s="3" t="str">
        <f>"202111021213"</f>
        <v>202111021213</v>
      </c>
      <c r="F8" s="3" t="s">
        <v>15</v>
      </c>
      <c r="G8" s="3" t="s">
        <v>13</v>
      </c>
      <c r="H8" s="3" t="str">
        <f>"11"</f>
        <v>11</v>
      </c>
      <c r="I8" s="7">
        <v>79.55</v>
      </c>
      <c r="J8" s="7">
        <v>0</v>
      </c>
      <c r="K8" s="8">
        <v>47.73</v>
      </c>
    </row>
    <row r="9" ht="30" customHeight="1" spans="1:11">
      <c r="A9" s="3">
        <v>134</v>
      </c>
      <c r="B9" s="3" t="str">
        <f>"易嘉敏"</f>
        <v>易嘉敏</v>
      </c>
      <c r="C9" s="3" t="str">
        <f>"女"</f>
        <v>女</v>
      </c>
      <c r="D9" s="3" t="str">
        <f t="shared" si="0"/>
        <v>汉族</v>
      </c>
      <c r="E9" s="3" t="str">
        <f>"202112034222"</f>
        <v>202112034222</v>
      </c>
      <c r="F9" s="3" t="s">
        <v>15</v>
      </c>
      <c r="G9" s="3" t="s">
        <v>16</v>
      </c>
      <c r="H9" s="3" t="str">
        <f>"12"</f>
        <v>12</v>
      </c>
      <c r="I9" s="7">
        <v>79.45</v>
      </c>
      <c r="J9" s="7">
        <v>83.8</v>
      </c>
      <c r="K9" s="8">
        <v>81.19</v>
      </c>
    </row>
    <row r="10" ht="30" customHeight="1" spans="1:11">
      <c r="A10" s="3">
        <v>141</v>
      </c>
      <c r="B10" s="3" t="str">
        <f>"尹毅超"</f>
        <v>尹毅超</v>
      </c>
      <c r="C10" s="3" t="str">
        <f>"男"</f>
        <v>男</v>
      </c>
      <c r="D10" s="3" t="str">
        <f t="shared" si="0"/>
        <v>汉族</v>
      </c>
      <c r="E10" s="3" t="str">
        <f>"202112034217"</f>
        <v>202112034217</v>
      </c>
      <c r="F10" s="3" t="s">
        <v>15</v>
      </c>
      <c r="G10" s="3" t="s">
        <v>16</v>
      </c>
      <c r="H10" s="3" t="str">
        <f>"12"</f>
        <v>12</v>
      </c>
      <c r="I10" s="7">
        <v>80.15</v>
      </c>
      <c r="J10" s="7">
        <v>0</v>
      </c>
      <c r="K10" s="8">
        <v>48.09</v>
      </c>
    </row>
    <row r="11" ht="30" customHeight="1" spans="1:11">
      <c r="A11" s="3">
        <v>158</v>
      </c>
      <c r="B11" s="3" t="str">
        <f>"王园园"</f>
        <v>王园园</v>
      </c>
      <c r="C11" s="3" t="str">
        <f>"女"</f>
        <v>女</v>
      </c>
      <c r="D11" s="3" t="str">
        <f t="shared" si="0"/>
        <v>汉族</v>
      </c>
      <c r="E11" s="3" t="str">
        <f>"202113023113"</f>
        <v>202113023113</v>
      </c>
      <c r="F11" s="3" t="s">
        <v>15</v>
      </c>
      <c r="G11" s="3" t="s">
        <v>17</v>
      </c>
      <c r="H11" s="3" t="str">
        <f>"13"</f>
        <v>13</v>
      </c>
      <c r="I11" s="7">
        <v>75.4</v>
      </c>
      <c r="J11" s="7">
        <v>79.08</v>
      </c>
      <c r="K11" s="8">
        <v>76.872</v>
      </c>
    </row>
    <row r="12" ht="30" customHeight="1" spans="1:11">
      <c r="A12" s="3">
        <v>179</v>
      </c>
      <c r="B12" s="3" t="str">
        <f>"刘英"</f>
        <v>刘英</v>
      </c>
      <c r="C12" s="3" t="str">
        <f>"女"</f>
        <v>女</v>
      </c>
      <c r="D12" s="3" t="str">
        <f t="shared" si="0"/>
        <v>汉族</v>
      </c>
      <c r="E12" s="3" t="str">
        <f>"202113023117"</f>
        <v>202113023117</v>
      </c>
      <c r="F12" s="3" t="s">
        <v>15</v>
      </c>
      <c r="G12" s="3" t="s">
        <v>17</v>
      </c>
      <c r="H12" s="3" t="str">
        <f>"13"</f>
        <v>13</v>
      </c>
      <c r="I12" s="7">
        <v>75.05</v>
      </c>
      <c r="J12" s="7">
        <v>0</v>
      </c>
      <c r="K12" s="8">
        <v>45.03</v>
      </c>
    </row>
    <row r="13" ht="30" customHeight="1" spans="1:11">
      <c r="A13" s="3">
        <v>216</v>
      </c>
      <c r="B13" s="3" t="str">
        <f>"邓燕华"</f>
        <v>邓燕华</v>
      </c>
      <c r="C13" s="3" t="str">
        <f>"女"</f>
        <v>女</v>
      </c>
      <c r="D13" s="3" t="str">
        <f t="shared" si="0"/>
        <v>汉族</v>
      </c>
      <c r="E13" s="3" t="str">
        <f>"202114040207"</f>
        <v>202114040207</v>
      </c>
      <c r="F13" s="3" t="s">
        <v>15</v>
      </c>
      <c r="G13" s="3" t="s">
        <v>14</v>
      </c>
      <c r="H13" s="3" t="str">
        <f>"14"</f>
        <v>14</v>
      </c>
      <c r="I13" s="7">
        <v>90.8</v>
      </c>
      <c r="J13" s="7">
        <v>89</v>
      </c>
      <c r="K13" s="8">
        <v>90.08</v>
      </c>
    </row>
    <row r="14" ht="30" customHeight="1" spans="1:11">
      <c r="A14" s="3">
        <v>194</v>
      </c>
      <c r="B14" s="3" t="str">
        <f>"章娜"</f>
        <v>章娜</v>
      </c>
      <c r="C14" s="3" t="str">
        <f>"女"</f>
        <v>女</v>
      </c>
      <c r="D14" s="3" t="str">
        <f t="shared" si="0"/>
        <v>汉族</v>
      </c>
      <c r="E14" s="3" t="str">
        <f>"202114040219"</f>
        <v>202114040219</v>
      </c>
      <c r="F14" s="3" t="s">
        <v>15</v>
      </c>
      <c r="G14" s="3" t="s">
        <v>14</v>
      </c>
      <c r="H14" s="3" t="str">
        <f>"14"</f>
        <v>14</v>
      </c>
      <c r="I14" s="7">
        <v>85.8</v>
      </c>
      <c r="J14" s="7">
        <v>80</v>
      </c>
      <c r="K14" s="8">
        <v>83.48</v>
      </c>
    </row>
    <row r="15" ht="30" customHeight="1" spans="1:11">
      <c r="A15" s="5">
        <v>330</v>
      </c>
      <c r="B15" s="6" t="s">
        <v>18</v>
      </c>
      <c r="C15" s="6" t="s">
        <v>19</v>
      </c>
      <c r="D15" s="6" t="s">
        <v>20</v>
      </c>
      <c r="E15" s="6" t="s">
        <v>21</v>
      </c>
      <c r="F15" s="5" t="s">
        <v>22</v>
      </c>
      <c r="G15" s="6" t="s">
        <v>13</v>
      </c>
      <c r="H15" s="6" t="s">
        <v>23</v>
      </c>
      <c r="I15" s="9">
        <v>76.75</v>
      </c>
      <c r="J15" s="10">
        <v>87.52</v>
      </c>
      <c r="K15" s="8">
        <v>81.058</v>
      </c>
    </row>
    <row r="16" ht="30" customHeight="1" spans="1:11">
      <c r="A16" s="5">
        <v>564</v>
      </c>
      <c r="B16" s="6" t="s">
        <v>24</v>
      </c>
      <c r="C16" s="6" t="s">
        <v>19</v>
      </c>
      <c r="D16" s="6" t="s">
        <v>20</v>
      </c>
      <c r="E16" s="6" t="s">
        <v>25</v>
      </c>
      <c r="F16" s="5" t="s">
        <v>22</v>
      </c>
      <c r="G16" s="6" t="s">
        <v>13</v>
      </c>
      <c r="H16" s="6" t="s">
        <v>23</v>
      </c>
      <c r="I16" s="9">
        <v>74.3</v>
      </c>
      <c r="J16" s="10">
        <v>89.82</v>
      </c>
      <c r="K16" s="8">
        <v>80.508</v>
      </c>
    </row>
    <row r="17" ht="30" customHeight="1" spans="1:11">
      <c r="A17" s="5">
        <v>353</v>
      </c>
      <c r="B17" s="6" t="s">
        <v>26</v>
      </c>
      <c r="C17" s="6" t="s">
        <v>19</v>
      </c>
      <c r="D17" s="6" t="s">
        <v>20</v>
      </c>
      <c r="E17" s="6" t="s">
        <v>27</v>
      </c>
      <c r="F17" s="5" t="s">
        <v>22</v>
      </c>
      <c r="G17" s="6" t="s">
        <v>13</v>
      </c>
      <c r="H17" s="6" t="s">
        <v>23</v>
      </c>
      <c r="I17" s="9">
        <v>76.55</v>
      </c>
      <c r="J17" s="10">
        <v>85.12</v>
      </c>
      <c r="K17" s="8">
        <v>79.978</v>
      </c>
    </row>
    <row r="18" ht="30" customHeight="1" spans="1:11">
      <c r="A18" s="5">
        <v>617</v>
      </c>
      <c r="B18" s="6" t="s">
        <v>28</v>
      </c>
      <c r="C18" s="6" t="s">
        <v>19</v>
      </c>
      <c r="D18" s="6" t="s">
        <v>20</v>
      </c>
      <c r="E18" s="6" t="s">
        <v>29</v>
      </c>
      <c r="F18" s="5" t="s">
        <v>22</v>
      </c>
      <c r="G18" s="6" t="s">
        <v>13</v>
      </c>
      <c r="H18" s="6" t="s">
        <v>23</v>
      </c>
      <c r="I18" s="9">
        <v>75.3</v>
      </c>
      <c r="J18" s="10">
        <v>83.64</v>
      </c>
      <c r="K18" s="8">
        <v>78.636</v>
      </c>
    </row>
    <row r="19" ht="30" customHeight="1" spans="1:11">
      <c r="A19" s="5">
        <v>651</v>
      </c>
      <c r="B19" s="6" t="s">
        <v>30</v>
      </c>
      <c r="C19" s="6" t="s">
        <v>19</v>
      </c>
      <c r="D19" s="6" t="s">
        <v>20</v>
      </c>
      <c r="E19" s="6" t="s">
        <v>31</v>
      </c>
      <c r="F19" s="5" t="s">
        <v>22</v>
      </c>
      <c r="G19" s="6" t="s">
        <v>13</v>
      </c>
      <c r="H19" s="6" t="s">
        <v>23</v>
      </c>
      <c r="I19" s="9">
        <v>77.05</v>
      </c>
      <c r="J19" s="10">
        <v>80.84</v>
      </c>
      <c r="K19" s="8">
        <v>78.566</v>
      </c>
    </row>
    <row r="20" ht="30" customHeight="1" spans="1:11">
      <c r="A20" s="5">
        <v>588</v>
      </c>
      <c r="B20" s="6" t="s">
        <v>32</v>
      </c>
      <c r="C20" s="6" t="s">
        <v>19</v>
      </c>
      <c r="D20" s="6" t="s">
        <v>20</v>
      </c>
      <c r="E20" s="6" t="s">
        <v>33</v>
      </c>
      <c r="F20" s="5" t="s">
        <v>22</v>
      </c>
      <c r="G20" s="6" t="s">
        <v>13</v>
      </c>
      <c r="H20" s="6" t="s">
        <v>23</v>
      </c>
      <c r="I20" s="9">
        <v>74.7</v>
      </c>
      <c r="J20" s="7">
        <v>0</v>
      </c>
      <c r="K20" s="8">
        <v>44.82</v>
      </c>
    </row>
    <row r="21" ht="30" customHeight="1" spans="1:11">
      <c r="A21" s="5">
        <v>833</v>
      </c>
      <c r="B21" s="6" t="s">
        <v>34</v>
      </c>
      <c r="C21" s="6" t="s">
        <v>19</v>
      </c>
      <c r="D21" s="6" t="s">
        <v>35</v>
      </c>
      <c r="E21" s="6" t="s">
        <v>36</v>
      </c>
      <c r="F21" s="5" t="s">
        <v>22</v>
      </c>
      <c r="G21" s="6" t="s">
        <v>37</v>
      </c>
      <c r="H21" s="6" t="s">
        <v>38</v>
      </c>
      <c r="I21" s="9">
        <v>72.3</v>
      </c>
      <c r="J21" s="10">
        <v>87.28</v>
      </c>
      <c r="K21" s="8">
        <v>78.292</v>
      </c>
    </row>
    <row r="22" ht="30" customHeight="1" spans="1:11">
      <c r="A22" s="5">
        <v>728</v>
      </c>
      <c r="B22" s="6" t="s">
        <v>39</v>
      </c>
      <c r="C22" s="6" t="s">
        <v>19</v>
      </c>
      <c r="D22" s="6" t="s">
        <v>20</v>
      </c>
      <c r="E22" s="6" t="s">
        <v>40</v>
      </c>
      <c r="F22" s="5" t="s">
        <v>22</v>
      </c>
      <c r="G22" s="6" t="s">
        <v>37</v>
      </c>
      <c r="H22" s="6" t="s">
        <v>38</v>
      </c>
      <c r="I22" s="9">
        <v>73.15</v>
      </c>
      <c r="J22" s="10">
        <v>85.14</v>
      </c>
      <c r="K22" s="8">
        <v>77.946</v>
      </c>
    </row>
    <row r="23" ht="30" customHeight="1" spans="1:11">
      <c r="A23" s="5">
        <v>789</v>
      </c>
      <c r="B23" s="6" t="s">
        <v>41</v>
      </c>
      <c r="C23" s="6" t="s">
        <v>19</v>
      </c>
      <c r="D23" s="6" t="s">
        <v>20</v>
      </c>
      <c r="E23" s="6" t="s">
        <v>42</v>
      </c>
      <c r="F23" s="5" t="s">
        <v>22</v>
      </c>
      <c r="G23" s="6" t="s">
        <v>37</v>
      </c>
      <c r="H23" s="6" t="s">
        <v>38</v>
      </c>
      <c r="I23" s="9">
        <v>70.95</v>
      </c>
      <c r="J23" s="10">
        <v>87.36</v>
      </c>
      <c r="K23" s="8">
        <v>77.514</v>
      </c>
    </row>
    <row r="24" ht="30" customHeight="1" spans="1:11">
      <c r="A24" s="5">
        <v>772</v>
      </c>
      <c r="B24" s="6" t="s">
        <v>43</v>
      </c>
      <c r="C24" s="6" t="s">
        <v>19</v>
      </c>
      <c r="D24" s="6" t="s">
        <v>44</v>
      </c>
      <c r="E24" s="6" t="s">
        <v>45</v>
      </c>
      <c r="F24" s="5" t="s">
        <v>22</v>
      </c>
      <c r="G24" s="6" t="s">
        <v>37</v>
      </c>
      <c r="H24" s="6" t="s">
        <v>38</v>
      </c>
      <c r="I24" s="9">
        <v>71.4</v>
      </c>
      <c r="J24" s="10">
        <v>83.56</v>
      </c>
      <c r="K24" s="8">
        <v>76.264</v>
      </c>
    </row>
    <row r="25" ht="30" customHeight="1" spans="1:11">
      <c r="A25" s="5">
        <v>846</v>
      </c>
      <c r="B25" s="6" t="s">
        <v>46</v>
      </c>
      <c r="C25" s="6" t="s">
        <v>19</v>
      </c>
      <c r="D25" s="6" t="s">
        <v>20</v>
      </c>
      <c r="E25" s="6" t="s">
        <v>47</v>
      </c>
      <c r="F25" s="5" t="s">
        <v>22</v>
      </c>
      <c r="G25" s="6" t="s">
        <v>37</v>
      </c>
      <c r="H25" s="6" t="s">
        <v>38</v>
      </c>
      <c r="I25" s="9">
        <v>71.3</v>
      </c>
      <c r="J25" s="10">
        <v>82.96</v>
      </c>
      <c r="K25" s="8">
        <v>75.964</v>
      </c>
    </row>
    <row r="26" ht="30" customHeight="1" spans="1:11">
      <c r="A26" s="5">
        <v>750</v>
      </c>
      <c r="B26" s="6" t="s">
        <v>48</v>
      </c>
      <c r="C26" s="6" t="s">
        <v>19</v>
      </c>
      <c r="D26" s="6" t="s">
        <v>20</v>
      </c>
      <c r="E26" s="6" t="s">
        <v>49</v>
      </c>
      <c r="F26" s="5" t="s">
        <v>22</v>
      </c>
      <c r="G26" s="6" t="s">
        <v>37</v>
      </c>
      <c r="H26" s="6" t="s">
        <v>38</v>
      </c>
      <c r="I26" s="9">
        <v>70.75</v>
      </c>
      <c r="J26" s="10">
        <v>83.22</v>
      </c>
      <c r="K26" s="8">
        <v>75.738</v>
      </c>
    </row>
    <row r="27" ht="30" customHeight="1" spans="1:11">
      <c r="A27" s="3">
        <v>1200</v>
      </c>
      <c r="B27" s="3" t="str">
        <f>"于湘杰"</f>
        <v>于湘杰</v>
      </c>
      <c r="C27" s="3" t="str">
        <f>"女"</f>
        <v>女</v>
      </c>
      <c r="D27" s="3" t="str">
        <f>"土家族"</f>
        <v>土家族</v>
      </c>
      <c r="E27" s="3" t="str">
        <f>"202117031020"</f>
        <v>202117031020</v>
      </c>
      <c r="F27" s="3" t="s">
        <v>22</v>
      </c>
      <c r="G27" s="3" t="s">
        <v>50</v>
      </c>
      <c r="H27" s="3" t="str">
        <f t="shared" ref="H27:H34" si="1">"17"</f>
        <v>17</v>
      </c>
      <c r="I27" s="7">
        <v>95.75</v>
      </c>
      <c r="J27" s="7">
        <v>92.6</v>
      </c>
      <c r="K27" s="8">
        <v>94.49</v>
      </c>
    </row>
    <row r="28" ht="30" customHeight="1" spans="1:11">
      <c r="A28" s="3">
        <v>1015</v>
      </c>
      <c r="B28" s="3" t="str">
        <f>"王媛"</f>
        <v>王媛</v>
      </c>
      <c r="C28" s="3" t="str">
        <f>"女"</f>
        <v>女</v>
      </c>
      <c r="D28" s="3" t="str">
        <f>"汉族"</f>
        <v>汉族</v>
      </c>
      <c r="E28" s="3" t="str">
        <f>"202117031227"</f>
        <v>202117031227</v>
      </c>
      <c r="F28" s="3" t="s">
        <v>22</v>
      </c>
      <c r="G28" s="3" t="s">
        <v>50</v>
      </c>
      <c r="H28" s="3" t="str">
        <f t="shared" si="1"/>
        <v>17</v>
      </c>
      <c r="I28" s="7">
        <v>94.5</v>
      </c>
      <c r="J28" s="7">
        <v>90.8</v>
      </c>
      <c r="K28" s="8">
        <v>93.02</v>
      </c>
    </row>
    <row r="29" ht="30" customHeight="1" spans="1:11">
      <c r="A29" s="3">
        <v>1110</v>
      </c>
      <c r="B29" s="3" t="str">
        <f>"肖娟"</f>
        <v>肖娟</v>
      </c>
      <c r="C29" s="3" t="str">
        <f>"女"</f>
        <v>女</v>
      </c>
      <c r="D29" s="3" t="str">
        <f>"汉族"</f>
        <v>汉族</v>
      </c>
      <c r="E29" s="3" t="str">
        <f>"202117030517"</f>
        <v>202117030517</v>
      </c>
      <c r="F29" s="3" t="s">
        <v>22</v>
      </c>
      <c r="G29" s="3" t="s">
        <v>50</v>
      </c>
      <c r="H29" s="3" t="str">
        <f t="shared" si="1"/>
        <v>17</v>
      </c>
      <c r="I29" s="7">
        <v>95.5</v>
      </c>
      <c r="J29" s="7">
        <v>85.4</v>
      </c>
      <c r="K29" s="8">
        <v>91.46</v>
      </c>
    </row>
    <row r="30" ht="30" customHeight="1" spans="1:11">
      <c r="A30" s="3">
        <v>1103</v>
      </c>
      <c r="B30" s="3" t="str">
        <f>"周荻香"</f>
        <v>周荻香</v>
      </c>
      <c r="C30" s="3" t="str">
        <f>"女"</f>
        <v>女</v>
      </c>
      <c r="D30" s="3" t="str">
        <f>"汉族"</f>
        <v>汉族</v>
      </c>
      <c r="E30" s="3" t="str">
        <f>"202117031301"</f>
        <v>202117031301</v>
      </c>
      <c r="F30" s="3" t="s">
        <v>22</v>
      </c>
      <c r="G30" s="3" t="s">
        <v>50</v>
      </c>
      <c r="H30" s="3" t="str">
        <f t="shared" si="1"/>
        <v>17</v>
      </c>
      <c r="I30" s="7">
        <v>96</v>
      </c>
      <c r="J30" s="7">
        <v>83.8</v>
      </c>
      <c r="K30" s="8">
        <v>91.12</v>
      </c>
    </row>
    <row r="31" ht="30" customHeight="1" spans="1:11">
      <c r="A31" s="3">
        <v>1030</v>
      </c>
      <c r="B31" s="3" t="str">
        <f>"高丽"</f>
        <v>高丽</v>
      </c>
      <c r="C31" s="3" t="str">
        <f>"女"</f>
        <v>女</v>
      </c>
      <c r="D31" s="3" t="str">
        <f>"汉族"</f>
        <v>汉族</v>
      </c>
      <c r="E31" s="3" t="str">
        <f>"202117030219"</f>
        <v>202117030219</v>
      </c>
      <c r="F31" s="3" t="s">
        <v>22</v>
      </c>
      <c r="G31" s="3" t="s">
        <v>50</v>
      </c>
      <c r="H31" s="3" t="str">
        <f t="shared" si="1"/>
        <v>17</v>
      </c>
      <c r="I31" s="7">
        <v>94.5</v>
      </c>
      <c r="J31" s="7">
        <v>83.4</v>
      </c>
      <c r="K31" s="8">
        <v>90.06</v>
      </c>
    </row>
    <row r="32" ht="30" customHeight="1" spans="1:11">
      <c r="A32" s="3">
        <v>1180</v>
      </c>
      <c r="B32" s="3" t="str">
        <f>"刘首威"</f>
        <v>刘首威</v>
      </c>
      <c r="C32" s="3" t="str">
        <f>"男"</f>
        <v>男</v>
      </c>
      <c r="D32" s="3" t="str">
        <f>"汉族"</f>
        <v>汉族</v>
      </c>
      <c r="E32" s="3" t="str">
        <f>"202117030328"</f>
        <v>202117030328</v>
      </c>
      <c r="F32" s="3" t="s">
        <v>22</v>
      </c>
      <c r="G32" s="3" t="s">
        <v>50</v>
      </c>
      <c r="H32" s="3" t="str">
        <f t="shared" si="1"/>
        <v>17</v>
      </c>
      <c r="I32" s="7">
        <v>94.5</v>
      </c>
      <c r="J32" s="7">
        <v>82.6</v>
      </c>
      <c r="K32" s="8">
        <v>89.74</v>
      </c>
    </row>
    <row r="33" ht="30" customHeight="1" spans="1:11">
      <c r="A33" s="3">
        <v>905</v>
      </c>
      <c r="B33" s="3" t="str">
        <f>"马含春"</f>
        <v>马含春</v>
      </c>
      <c r="C33" s="3" t="str">
        <f>"女"</f>
        <v>女</v>
      </c>
      <c r="D33" s="3" t="str">
        <f>"回族"</f>
        <v>回族</v>
      </c>
      <c r="E33" s="3" t="str">
        <f>"202117030609"</f>
        <v>202117030609</v>
      </c>
      <c r="F33" s="3" t="s">
        <v>22</v>
      </c>
      <c r="G33" s="3" t="s">
        <v>50</v>
      </c>
      <c r="H33" s="3" t="str">
        <f t="shared" si="1"/>
        <v>17</v>
      </c>
      <c r="I33" s="7">
        <v>94.5</v>
      </c>
      <c r="J33" s="7">
        <v>82</v>
      </c>
      <c r="K33" s="8">
        <v>89.5</v>
      </c>
    </row>
    <row r="34" ht="30" customHeight="1" spans="1:11">
      <c r="A34" s="3">
        <v>1039</v>
      </c>
      <c r="B34" s="3" t="str">
        <f>"叶盛子"</f>
        <v>叶盛子</v>
      </c>
      <c r="C34" s="3" t="str">
        <f>"男"</f>
        <v>男</v>
      </c>
      <c r="D34" s="3" t="str">
        <f t="shared" ref="D34:D44" si="2">"汉族"</f>
        <v>汉族</v>
      </c>
      <c r="E34" s="3" t="str">
        <f>"202117030325"</f>
        <v>202117030325</v>
      </c>
      <c r="F34" s="3" t="s">
        <v>22</v>
      </c>
      <c r="G34" s="3" t="s">
        <v>50</v>
      </c>
      <c r="H34" s="3" t="str">
        <f t="shared" si="1"/>
        <v>17</v>
      </c>
      <c r="I34" s="7">
        <v>94.5</v>
      </c>
      <c r="J34" s="7">
        <v>0</v>
      </c>
      <c r="K34" s="8">
        <v>56.7</v>
      </c>
    </row>
    <row r="35" ht="30" customHeight="1" spans="1:11">
      <c r="A35" s="3">
        <v>1318</v>
      </c>
      <c r="B35" s="3" t="str">
        <f>"王珍"</f>
        <v>王珍</v>
      </c>
      <c r="C35" s="3" t="str">
        <f>"女"</f>
        <v>女</v>
      </c>
      <c r="D35" s="3" t="str">
        <f t="shared" si="2"/>
        <v>汉族</v>
      </c>
      <c r="E35" s="3" t="str">
        <f>"202118031511"</f>
        <v>202118031511</v>
      </c>
      <c r="F35" s="3" t="s">
        <v>22</v>
      </c>
      <c r="G35" s="3" t="s">
        <v>16</v>
      </c>
      <c r="H35" s="3" t="str">
        <f t="shared" ref="H35:H40" si="3">"18"</f>
        <v>18</v>
      </c>
      <c r="I35" s="7">
        <v>95.5</v>
      </c>
      <c r="J35" s="7">
        <v>90.2</v>
      </c>
      <c r="K35" s="8">
        <v>93.38</v>
      </c>
    </row>
    <row r="36" ht="30" customHeight="1" spans="1:11">
      <c r="A36" s="3">
        <v>1259</v>
      </c>
      <c r="B36" s="3" t="str">
        <f>"曾亚男"</f>
        <v>曾亚男</v>
      </c>
      <c r="C36" s="3" t="str">
        <f>"女"</f>
        <v>女</v>
      </c>
      <c r="D36" s="3" t="str">
        <f t="shared" si="2"/>
        <v>汉族</v>
      </c>
      <c r="E36" s="3" t="str">
        <f>"202118031425"</f>
        <v>202118031425</v>
      </c>
      <c r="F36" s="3" t="s">
        <v>22</v>
      </c>
      <c r="G36" s="3" t="s">
        <v>16</v>
      </c>
      <c r="H36" s="3" t="str">
        <f t="shared" si="3"/>
        <v>18</v>
      </c>
      <c r="I36" s="7">
        <v>92.5</v>
      </c>
      <c r="J36" s="7">
        <v>88.6</v>
      </c>
      <c r="K36" s="8">
        <v>90.94</v>
      </c>
    </row>
    <row r="37" ht="30" customHeight="1" spans="1:11">
      <c r="A37" s="3">
        <v>1271</v>
      </c>
      <c r="B37" s="3" t="str">
        <f>"邓楠"</f>
        <v>邓楠</v>
      </c>
      <c r="C37" s="3" t="str">
        <f>"女"</f>
        <v>女</v>
      </c>
      <c r="D37" s="3" t="str">
        <f t="shared" si="2"/>
        <v>汉族</v>
      </c>
      <c r="E37" s="3" t="str">
        <f>"202118031701"</f>
        <v>202118031701</v>
      </c>
      <c r="F37" s="3" t="s">
        <v>22</v>
      </c>
      <c r="G37" s="3" t="s">
        <v>16</v>
      </c>
      <c r="H37" s="3" t="str">
        <f t="shared" si="3"/>
        <v>18</v>
      </c>
      <c r="I37" s="7">
        <v>91</v>
      </c>
      <c r="J37" s="7">
        <v>88.6</v>
      </c>
      <c r="K37" s="8">
        <v>90.04</v>
      </c>
    </row>
    <row r="38" ht="30" customHeight="1" spans="1:11">
      <c r="A38" s="3">
        <v>1278</v>
      </c>
      <c r="B38" s="3" t="str">
        <f>"欧艺博"</f>
        <v>欧艺博</v>
      </c>
      <c r="C38" s="3" t="str">
        <f>"女"</f>
        <v>女</v>
      </c>
      <c r="D38" s="3" t="str">
        <f t="shared" si="2"/>
        <v>汉族</v>
      </c>
      <c r="E38" s="3" t="str">
        <f>"202118031605"</f>
        <v>202118031605</v>
      </c>
      <c r="F38" s="3" t="s">
        <v>22</v>
      </c>
      <c r="G38" s="3" t="s">
        <v>16</v>
      </c>
      <c r="H38" s="3" t="str">
        <f t="shared" si="3"/>
        <v>18</v>
      </c>
      <c r="I38" s="7">
        <v>94</v>
      </c>
      <c r="J38" s="7">
        <v>83.8</v>
      </c>
      <c r="K38" s="8">
        <v>89.92</v>
      </c>
    </row>
    <row r="39" ht="30" customHeight="1" spans="1:11">
      <c r="A39" s="3">
        <v>1277</v>
      </c>
      <c r="B39" s="3" t="str">
        <f>"何斌"</f>
        <v>何斌</v>
      </c>
      <c r="C39" s="3" t="str">
        <f>"男"</f>
        <v>男</v>
      </c>
      <c r="D39" s="3" t="str">
        <f t="shared" si="2"/>
        <v>汉族</v>
      </c>
      <c r="E39" s="3" t="str">
        <f>"202118031424"</f>
        <v>202118031424</v>
      </c>
      <c r="F39" s="3" t="s">
        <v>22</v>
      </c>
      <c r="G39" s="3" t="s">
        <v>16</v>
      </c>
      <c r="H39" s="3" t="str">
        <f t="shared" si="3"/>
        <v>18</v>
      </c>
      <c r="I39" s="7">
        <v>93.5</v>
      </c>
      <c r="J39" s="7">
        <v>81.2</v>
      </c>
      <c r="K39" s="8">
        <v>88.58</v>
      </c>
    </row>
    <row r="40" ht="30" customHeight="1" spans="1:11">
      <c r="A40" s="3">
        <v>1290</v>
      </c>
      <c r="B40" s="3" t="str">
        <f>"严诗洁"</f>
        <v>严诗洁</v>
      </c>
      <c r="C40" s="3" t="str">
        <f t="shared" ref="C40:C48" si="4">"女"</f>
        <v>女</v>
      </c>
      <c r="D40" s="3" t="str">
        <f t="shared" si="2"/>
        <v>汉族</v>
      </c>
      <c r="E40" s="3" t="str">
        <f>"202118031414"</f>
        <v>202118031414</v>
      </c>
      <c r="F40" s="3" t="s">
        <v>22</v>
      </c>
      <c r="G40" s="3" t="s">
        <v>16</v>
      </c>
      <c r="H40" s="3" t="str">
        <f t="shared" si="3"/>
        <v>18</v>
      </c>
      <c r="I40" s="7">
        <v>90.3</v>
      </c>
      <c r="J40" s="7">
        <v>75.8</v>
      </c>
      <c r="K40" s="8">
        <v>84.5</v>
      </c>
    </row>
    <row r="41" ht="30" customHeight="1" spans="1:11">
      <c r="A41" s="3">
        <v>1387</v>
      </c>
      <c r="B41" s="3" t="str">
        <f>"刘夏君"</f>
        <v>刘夏君</v>
      </c>
      <c r="C41" s="3" t="str">
        <f t="shared" si="4"/>
        <v>女</v>
      </c>
      <c r="D41" s="3" t="str">
        <f t="shared" si="2"/>
        <v>汉族</v>
      </c>
      <c r="E41" s="3" t="str">
        <f>"202119040308"</f>
        <v>202119040308</v>
      </c>
      <c r="F41" s="3" t="s">
        <v>22</v>
      </c>
      <c r="G41" s="3" t="s">
        <v>51</v>
      </c>
      <c r="H41" s="3" t="str">
        <f>"19"</f>
        <v>19</v>
      </c>
      <c r="I41" s="7">
        <v>83.45</v>
      </c>
      <c r="J41" s="11" t="s">
        <v>52</v>
      </c>
      <c r="K41" s="8">
        <v>50.07</v>
      </c>
    </row>
    <row r="42" ht="30" customHeight="1" spans="1:11">
      <c r="A42" s="3">
        <v>1362</v>
      </c>
      <c r="B42" s="3" t="str">
        <f>"陈金琳"</f>
        <v>陈金琳</v>
      </c>
      <c r="C42" s="3" t="str">
        <f t="shared" si="4"/>
        <v>女</v>
      </c>
      <c r="D42" s="3" t="str">
        <f t="shared" si="2"/>
        <v>汉族</v>
      </c>
      <c r="E42" s="3" t="str">
        <f>"202119040321"</f>
        <v>202119040321</v>
      </c>
      <c r="F42" s="3" t="s">
        <v>22</v>
      </c>
      <c r="G42" s="3" t="s">
        <v>51</v>
      </c>
      <c r="H42" s="3" t="str">
        <f>"19"</f>
        <v>19</v>
      </c>
      <c r="I42" s="7">
        <v>79.35</v>
      </c>
      <c r="J42" s="11" t="s">
        <v>52</v>
      </c>
      <c r="K42" s="8">
        <v>47.61</v>
      </c>
    </row>
    <row r="43" ht="30" customHeight="1" spans="1:11">
      <c r="A43" s="3">
        <v>1410</v>
      </c>
      <c r="B43" s="3" t="str">
        <f>"尹小爱"</f>
        <v>尹小爱</v>
      </c>
      <c r="C43" s="3" t="str">
        <f t="shared" si="4"/>
        <v>女</v>
      </c>
      <c r="D43" s="3" t="str">
        <f t="shared" si="2"/>
        <v>汉族</v>
      </c>
      <c r="E43" s="3" t="str">
        <f>"202102021515"</f>
        <v>202102021515</v>
      </c>
      <c r="F43" s="3" t="s">
        <v>12</v>
      </c>
      <c r="G43" s="3" t="s">
        <v>37</v>
      </c>
      <c r="H43" s="3" t="str">
        <f>"2"</f>
        <v>2</v>
      </c>
      <c r="I43" s="7">
        <v>75.7</v>
      </c>
      <c r="J43" s="7">
        <v>82.44</v>
      </c>
      <c r="K43" s="8">
        <v>78.396</v>
      </c>
    </row>
    <row r="44" ht="30" customHeight="1" spans="1:11">
      <c r="A44" s="3">
        <v>1405</v>
      </c>
      <c r="B44" s="3" t="str">
        <f>"唐丹"</f>
        <v>唐丹</v>
      </c>
      <c r="C44" s="3" t="str">
        <f t="shared" si="4"/>
        <v>女</v>
      </c>
      <c r="D44" s="3" t="str">
        <f t="shared" si="2"/>
        <v>汉族</v>
      </c>
      <c r="E44" s="3" t="str">
        <f>"202102021518"</f>
        <v>202102021518</v>
      </c>
      <c r="F44" s="3" t="s">
        <v>12</v>
      </c>
      <c r="G44" s="3" t="s">
        <v>37</v>
      </c>
      <c r="H44" s="3" t="str">
        <f>"2"</f>
        <v>2</v>
      </c>
      <c r="I44" s="7">
        <v>72.1</v>
      </c>
      <c r="J44" s="7">
        <v>85.92</v>
      </c>
      <c r="K44" s="8">
        <v>77.628</v>
      </c>
    </row>
    <row r="45" ht="30" customHeight="1" spans="1:11">
      <c r="A45" s="3">
        <v>1436</v>
      </c>
      <c r="B45" s="3" t="str">
        <f>"吴珮溱"</f>
        <v>吴珮溱</v>
      </c>
      <c r="C45" s="3" t="str">
        <f t="shared" si="4"/>
        <v>女</v>
      </c>
      <c r="D45" s="3" t="str">
        <f>"苗族"</f>
        <v>苗族</v>
      </c>
      <c r="E45" s="3" t="str">
        <f>"202120040607"</f>
        <v>202120040607</v>
      </c>
      <c r="F45" s="3" t="s">
        <v>22</v>
      </c>
      <c r="G45" s="3" t="s">
        <v>53</v>
      </c>
      <c r="H45" s="3" t="str">
        <f>"20"</f>
        <v>20</v>
      </c>
      <c r="I45" s="7">
        <v>76.3</v>
      </c>
      <c r="J45" s="7">
        <v>88.8</v>
      </c>
      <c r="K45" s="8">
        <v>81.3</v>
      </c>
    </row>
    <row r="46" ht="30" customHeight="1" spans="1:11">
      <c r="A46" s="3">
        <v>1441</v>
      </c>
      <c r="B46" s="3" t="str">
        <f>"金赵诗妮"</f>
        <v>金赵诗妮</v>
      </c>
      <c r="C46" s="3" t="str">
        <f t="shared" si="4"/>
        <v>女</v>
      </c>
      <c r="D46" s="3" t="str">
        <f t="shared" ref="D46:D64" si="5">"汉族"</f>
        <v>汉族</v>
      </c>
      <c r="E46" s="3" t="str">
        <f>"202120040616"</f>
        <v>202120040616</v>
      </c>
      <c r="F46" s="3" t="s">
        <v>22</v>
      </c>
      <c r="G46" s="3" t="s">
        <v>53</v>
      </c>
      <c r="H46" s="3" t="str">
        <f>"20"</f>
        <v>20</v>
      </c>
      <c r="I46" s="7">
        <v>79.5</v>
      </c>
      <c r="J46" s="7">
        <v>81</v>
      </c>
      <c r="K46" s="8">
        <v>80.1</v>
      </c>
    </row>
    <row r="47" ht="30" customHeight="1" spans="1:11">
      <c r="A47" s="3">
        <v>1457</v>
      </c>
      <c r="B47" s="3" t="str">
        <f>"郭婉琪"</f>
        <v>郭婉琪</v>
      </c>
      <c r="C47" s="3" t="str">
        <f t="shared" si="4"/>
        <v>女</v>
      </c>
      <c r="D47" s="3" t="str">
        <f t="shared" si="5"/>
        <v>汉族</v>
      </c>
      <c r="E47" s="3" t="str">
        <f>"202120040608"</f>
        <v>202120040608</v>
      </c>
      <c r="F47" s="3" t="s">
        <v>22</v>
      </c>
      <c r="G47" s="3" t="s">
        <v>53</v>
      </c>
      <c r="H47" s="3" t="str">
        <f>"20"</f>
        <v>20</v>
      </c>
      <c r="I47" s="7">
        <v>79.3</v>
      </c>
      <c r="J47" s="11" t="s">
        <v>52</v>
      </c>
      <c r="K47" s="8">
        <v>47.58</v>
      </c>
    </row>
    <row r="48" ht="30" customHeight="1" spans="1:11">
      <c r="A48" s="3">
        <v>1482</v>
      </c>
      <c r="B48" s="3" t="str">
        <f>"袁国芳"</f>
        <v>袁国芳</v>
      </c>
      <c r="C48" s="3" t="str">
        <f t="shared" si="4"/>
        <v>女</v>
      </c>
      <c r="D48" s="3" t="str">
        <f t="shared" si="5"/>
        <v>汉族</v>
      </c>
      <c r="E48" s="3" t="str">
        <f>"202120040511"</f>
        <v>202120040511</v>
      </c>
      <c r="F48" s="3" t="s">
        <v>22</v>
      </c>
      <c r="G48" s="3" t="s">
        <v>53</v>
      </c>
      <c r="H48" s="3" t="str">
        <f>"20"</f>
        <v>20</v>
      </c>
      <c r="I48" s="7">
        <v>78.4</v>
      </c>
      <c r="J48" s="11" t="s">
        <v>52</v>
      </c>
      <c r="K48" s="8">
        <v>47.04</v>
      </c>
    </row>
    <row r="49" ht="30" customHeight="1" spans="1:11">
      <c r="A49" s="3">
        <v>1502</v>
      </c>
      <c r="B49" s="3" t="str">
        <f>"陈杰"</f>
        <v>陈杰</v>
      </c>
      <c r="C49" s="3" t="str">
        <f>"男"</f>
        <v>男</v>
      </c>
      <c r="D49" s="3" t="str">
        <f t="shared" si="5"/>
        <v>汉族</v>
      </c>
      <c r="E49" s="3" t="str">
        <f>"202121040713"</f>
        <v>202121040713</v>
      </c>
      <c r="F49" s="3" t="s">
        <v>22</v>
      </c>
      <c r="G49" s="3" t="s">
        <v>54</v>
      </c>
      <c r="H49" s="3" t="str">
        <f>"21"</f>
        <v>21</v>
      </c>
      <c r="I49" s="7">
        <v>64.55</v>
      </c>
      <c r="J49" s="7">
        <v>83.6</v>
      </c>
      <c r="K49" s="8">
        <v>72.17</v>
      </c>
    </row>
    <row r="50" ht="30" customHeight="1" spans="1:11">
      <c r="A50" s="3">
        <v>1499</v>
      </c>
      <c r="B50" s="3" t="str">
        <f>"全丽英"</f>
        <v>全丽英</v>
      </c>
      <c r="C50" s="3" t="str">
        <f>"女"</f>
        <v>女</v>
      </c>
      <c r="D50" s="3" t="str">
        <f t="shared" si="5"/>
        <v>汉族</v>
      </c>
      <c r="E50" s="3" t="str">
        <f>"202121040712"</f>
        <v>202121040712</v>
      </c>
      <c r="F50" s="3" t="s">
        <v>22</v>
      </c>
      <c r="G50" s="3" t="s">
        <v>54</v>
      </c>
      <c r="H50" s="3" t="str">
        <f>"21"</f>
        <v>21</v>
      </c>
      <c r="I50" s="7">
        <v>63.85</v>
      </c>
      <c r="J50" s="7">
        <v>84.5</v>
      </c>
      <c r="K50" s="8">
        <v>72.11</v>
      </c>
    </row>
    <row r="51" ht="30" customHeight="1" spans="1:11">
      <c r="A51" s="3">
        <v>1537</v>
      </c>
      <c r="B51" s="3" t="str">
        <f>"刘慧芬"</f>
        <v>刘慧芬</v>
      </c>
      <c r="C51" s="3" t="str">
        <f>"女"</f>
        <v>女</v>
      </c>
      <c r="D51" s="3" t="str">
        <f t="shared" si="5"/>
        <v>汉族</v>
      </c>
      <c r="E51" s="3" t="str">
        <f>"202122040904"</f>
        <v>202122040904</v>
      </c>
      <c r="F51" s="3" t="s">
        <v>22</v>
      </c>
      <c r="G51" s="3" t="s">
        <v>55</v>
      </c>
      <c r="H51" s="3" t="str">
        <f>"22"</f>
        <v>22</v>
      </c>
      <c r="I51" s="7">
        <v>73.7</v>
      </c>
      <c r="J51" s="7">
        <v>86.7</v>
      </c>
      <c r="K51" s="8">
        <v>78.9</v>
      </c>
    </row>
    <row r="52" ht="30" customHeight="1" spans="1:11">
      <c r="A52" s="3">
        <v>1521</v>
      </c>
      <c r="B52" s="3" t="str">
        <f>"胡佳铭"</f>
        <v>胡佳铭</v>
      </c>
      <c r="C52" s="3" t="str">
        <f>"男"</f>
        <v>男</v>
      </c>
      <c r="D52" s="3" t="str">
        <f t="shared" si="5"/>
        <v>汉族</v>
      </c>
      <c r="E52" s="3" t="str">
        <f>"202122040804"</f>
        <v>202122040804</v>
      </c>
      <c r="F52" s="3" t="s">
        <v>22</v>
      </c>
      <c r="G52" s="3" t="s">
        <v>55</v>
      </c>
      <c r="H52" s="3" t="str">
        <f>"22"</f>
        <v>22</v>
      </c>
      <c r="I52" s="7">
        <v>71.95</v>
      </c>
      <c r="J52" s="7">
        <v>87.6</v>
      </c>
      <c r="K52" s="8">
        <v>78.21</v>
      </c>
    </row>
    <row r="53" ht="30" customHeight="1" spans="1:11">
      <c r="A53" s="3">
        <v>1517</v>
      </c>
      <c r="B53" s="3" t="str">
        <f>"陈文胜"</f>
        <v>陈文胜</v>
      </c>
      <c r="C53" s="3" t="str">
        <f>"男"</f>
        <v>男</v>
      </c>
      <c r="D53" s="3" t="str">
        <f t="shared" si="5"/>
        <v>汉族</v>
      </c>
      <c r="E53" s="3" t="str">
        <f>"202122040728"</f>
        <v>202122040728</v>
      </c>
      <c r="F53" s="3" t="s">
        <v>22</v>
      </c>
      <c r="G53" s="3" t="s">
        <v>55</v>
      </c>
      <c r="H53" s="3" t="str">
        <f>"22"</f>
        <v>22</v>
      </c>
      <c r="I53" s="7">
        <v>72.8</v>
      </c>
      <c r="J53" s="11" t="s">
        <v>52</v>
      </c>
      <c r="K53" s="8">
        <v>43.68</v>
      </c>
    </row>
    <row r="54" ht="30" customHeight="1" spans="1:11">
      <c r="A54" s="3">
        <v>1534</v>
      </c>
      <c r="B54" s="3" t="str">
        <f>"周金琛泰"</f>
        <v>周金琛泰</v>
      </c>
      <c r="C54" s="3" t="str">
        <f>"男"</f>
        <v>男</v>
      </c>
      <c r="D54" s="3" t="str">
        <f t="shared" si="5"/>
        <v>汉族</v>
      </c>
      <c r="E54" s="3" t="str">
        <f>"202122040821"</f>
        <v>202122040821</v>
      </c>
      <c r="F54" s="3" t="s">
        <v>22</v>
      </c>
      <c r="G54" s="3" t="s">
        <v>55</v>
      </c>
      <c r="H54" s="3" t="str">
        <f>"22"</f>
        <v>22</v>
      </c>
      <c r="I54" s="7">
        <v>72.1</v>
      </c>
      <c r="J54" s="11" t="s">
        <v>52</v>
      </c>
      <c r="K54" s="8">
        <v>43.26</v>
      </c>
    </row>
    <row r="55" ht="30" customHeight="1" spans="1:11">
      <c r="A55" s="3">
        <v>1568</v>
      </c>
      <c r="B55" s="3" t="str">
        <f>"周依"</f>
        <v>周依</v>
      </c>
      <c r="C55" s="3" t="str">
        <f t="shared" ref="C55:C64" si="6">"女"</f>
        <v>女</v>
      </c>
      <c r="D55" s="3" t="str">
        <f t="shared" si="5"/>
        <v>汉族</v>
      </c>
      <c r="E55" s="3" t="str">
        <f>"202123041109"</f>
        <v>202123041109</v>
      </c>
      <c r="F55" s="3" t="s">
        <v>22</v>
      </c>
      <c r="G55" s="3" t="s">
        <v>56</v>
      </c>
      <c r="H55" s="3" t="str">
        <f>"23"</f>
        <v>23</v>
      </c>
      <c r="I55" s="7">
        <v>81.85</v>
      </c>
      <c r="J55" s="7">
        <v>85.2</v>
      </c>
      <c r="K55" s="8">
        <v>83.19</v>
      </c>
    </row>
    <row r="56" ht="30" customHeight="1" spans="1:11">
      <c r="A56" s="3">
        <v>1655</v>
      </c>
      <c r="B56" s="3" t="str">
        <f>"朱习习"</f>
        <v>朱习习</v>
      </c>
      <c r="C56" s="3" t="str">
        <f t="shared" si="6"/>
        <v>女</v>
      </c>
      <c r="D56" s="3" t="str">
        <f t="shared" si="5"/>
        <v>汉族</v>
      </c>
      <c r="E56" s="3" t="str">
        <f>"202123041321"</f>
        <v>202123041321</v>
      </c>
      <c r="F56" s="3" t="s">
        <v>22</v>
      </c>
      <c r="G56" s="3" t="s">
        <v>56</v>
      </c>
      <c r="H56" s="3" t="str">
        <f>"23"</f>
        <v>23</v>
      </c>
      <c r="I56" s="7">
        <v>81.8</v>
      </c>
      <c r="J56" s="7">
        <v>84.2</v>
      </c>
      <c r="K56" s="8">
        <v>82.76</v>
      </c>
    </row>
    <row r="57" ht="30" customHeight="1" spans="1:11">
      <c r="A57" s="3">
        <v>1702</v>
      </c>
      <c r="B57" s="3" t="str">
        <f>"张晶"</f>
        <v>张晶</v>
      </c>
      <c r="C57" s="3" t="str">
        <f t="shared" si="6"/>
        <v>女</v>
      </c>
      <c r="D57" s="3" t="str">
        <f t="shared" si="5"/>
        <v>汉族</v>
      </c>
      <c r="E57" s="3" t="str">
        <f>"202124041521"</f>
        <v>202124041521</v>
      </c>
      <c r="F57" s="3" t="s">
        <v>22</v>
      </c>
      <c r="G57" s="3" t="s">
        <v>57</v>
      </c>
      <c r="H57" s="3" t="str">
        <f>"24"</f>
        <v>24</v>
      </c>
      <c r="I57" s="7">
        <v>83</v>
      </c>
      <c r="J57" s="7">
        <v>85.4</v>
      </c>
      <c r="K57" s="8">
        <v>83.96</v>
      </c>
    </row>
    <row r="58" ht="30" customHeight="1" spans="1:11">
      <c r="A58" s="3">
        <v>1658</v>
      </c>
      <c r="B58" s="3" t="str">
        <f>"罗芳"</f>
        <v>罗芳</v>
      </c>
      <c r="C58" s="3" t="str">
        <f t="shared" si="6"/>
        <v>女</v>
      </c>
      <c r="D58" s="3" t="str">
        <f t="shared" si="5"/>
        <v>汉族</v>
      </c>
      <c r="E58" s="3" t="str">
        <f>"202124041515"</f>
        <v>202124041515</v>
      </c>
      <c r="F58" s="3" t="s">
        <v>22</v>
      </c>
      <c r="G58" s="3" t="s">
        <v>57</v>
      </c>
      <c r="H58" s="3" t="str">
        <f>"24"</f>
        <v>24</v>
      </c>
      <c r="I58" s="7">
        <v>81.95</v>
      </c>
      <c r="J58" s="7">
        <v>80.6</v>
      </c>
      <c r="K58" s="8">
        <v>81.41</v>
      </c>
    </row>
    <row r="59" ht="30" customHeight="1" spans="1:11">
      <c r="A59" s="3">
        <v>1737</v>
      </c>
      <c r="B59" s="3" t="str">
        <f>"黄婷"</f>
        <v>黄婷</v>
      </c>
      <c r="C59" s="3" t="str">
        <f t="shared" si="6"/>
        <v>女</v>
      </c>
      <c r="D59" s="3" t="str">
        <f t="shared" si="5"/>
        <v>汉族</v>
      </c>
      <c r="E59" s="3" t="str">
        <f>"202125022902"</f>
        <v>202125022902</v>
      </c>
      <c r="F59" s="3" t="s">
        <v>22</v>
      </c>
      <c r="G59" s="3" t="s">
        <v>17</v>
      </c>
      <c r="H59" s="3" t="str">
        <f>"25"</f>
        <v>25</v>
      </c>
      <c r="I59" s="7">
        <v>77.3</v>
      </c>
      <c r="J59" s="7">
        <v>84.64</v>
      </c>
      <c r="K59" s="8">
        <v>80.236</v>
      </c>
    </row>
    <row r="60" ht="30" customHeight="1" spans="1:11">
      <c r="A60" s="3">
        <v>1749</v>
      </c>
      <c r="B60" s="3" t="str">
        <f>"王文婷"</f>
        <v>王文婷</v>
      </c>
      <c r="C60" s="3" t="str">
        <f t="shared" si="6"/>
        <v>女</v>
      </c>
      <c r="D60" s="3" t="str">
        <f t="shared" si="5"/>
        <v>汉族</v>
      </c>
      <c r="E60" s="3" t="str">
        <f>"202125022911"</f>
        <v>202125022911</v>
      </c>
      <c r="F60" s="3" t="s">
        <v>22</v>
      </c>
      <c r="G60" s="3" t="s">
        <v>17</v>
      </c>
      <c r="H60" s="3" t="str">
        <f>"25"</f>
        <v>25</v>
      </c>
      <c r="I60" s="7">
        <v>80.4</v>
      </c>
      <c r="J60" s="7">
        <v>79.68</v>
      </c>
      <c r="K60" s="8">
        <v>80.112</v>
      </c>
    </row>
    <row r="61" ht="30" customHeight="1" spans="1:11">
      <c r="A61" s="3">
        <v>1748</v>
      </c>
      <c r="B61" s="3" t="str">
        <f>"曾友红"</f>
        <v>曾友红</v>
      </c>
      <c r="C61" s="3" t="str">
        <f t="shared" si="6"/>
        <v>女</v>
      </c>
      <c r="D61" s="3" t="str">
        <f t="shared" si="5"/>
        <v>汉族</v>
      </c>
      <c r="E61" s="3" t="str">
        <f>"202125023008"</f>
        <v>202125023008</v>
      </c>
      <c r="F61" s="3" t="s">
        <v>22</v>
      </c>
      <c r="G61" s="3" t="s">
        <v>17</v>
      </c>
      <c r="H61" s="3" t="str">
        <f>"25"</f>
        <v>25</v>
      </c>
      <c r="I61" s="7">
        <v>74.95</v>
      </c>
      <c r="J61" s="7">
        <v>82.88</v>
      </c>
      <c r="K61" s="8">
        <v>78.122</v>
      </c>
    </row>
    <row r="62" ht="30" customHeight="1" spans="1:11">
      <c r="A62" s="3">
        <v>1733</v>
      </c>
      <c r="B62" s="3" t="str">
        <f>"杨伶俐"</f>
        <v>杨伶俐</v>
      </c>
      <c r="C62" s="3" t="str">
        <f t="shared" si="6"/>
        <v>女</v>
      </c>
      <c r="D62" s="3" t="str">
        <f t="shared" si="5"/>
        <v>汉族</v>
      </c>
      <c r="E62" s="3" t="str">
        <f>"202125022926"</f>
        <v>202125022926</v>
      </c>
      <c r="F62" s="3" t="s">
        <v>22</v>
      </c>
      <c r="G62" s="3" t="s">
        <v>17</v>
      </c>
      <c r="H62" s="3" t="str">
        <f>"25"</f>
        <v>25</v>
      </c>
      <c r="I62" s="7">
        <v>75.15</v>
      </c>
      <c r="J62" s="7">
        <v>81.84</v>
      </c>
      <c r="K62" s="8">
        <v>77.826</v>
      </c>
    </row>
    <row r="63" ht="30" customHeight="1" spans="1:11">
      <c r="A63" s="3">
        <v>1751</v>
      </c>
      <c r="B63" s="3" t="str">
        <f>"旷明凤"</f>
        <v>旷明凤</v>
      </c>
      <c r="C63" s="3" t="str">
        <f t="shared" si="6"/>
        <v>女</v>
      </c>
      <c r="D63" s="3" t="str">
        <f t="shared" si="5"/>
        <v>汉族</v>
      </c>
      <c r="E63" s="3" t="str">
        <f>"202126023014"</f>
        <v>202126023014</v>
      </c>
      <c r="F63" s="3" t="s">
        <v>22</v>
      </c>
      <c r="G63" s="3" t="s">
        <v>58</v>
      </c>
      <c r="H63" s="3" t="str">
        <f>"26"</f>
        <v>26</v>
      </c>
      <c r="I63" s="7">
        <v>78.8</v>
      </c>
      <c r="J63" s="7">
        <v>84.8</v>
      </c>
      <c r="K63" s="8">
        <v>81.2</v>
      </c>
    </row>
    <row r="64" ht="30" customHeight="1" spans="1:11">
      <c r="A64" s="3">
        <v>1752</v>
      </c>
      <c r="B64" s="3" t="str">
        <f>"李诗"</f>
        <v>李诗</v>
      </c>
      <c r="C64" s="3" t="str">
        <f t="shared" si="6"/>
        <v>女</v>
      </c>
      <c r="D64" s="3" t="str">
        <f t="shared" si="5"/>
        <v>汉族</v>
      </c>
      <c r="E64" s="3" t="str">
        <f>"202126023012"</f>
        <v>202126023012</v>
      </c>
      <c r="F64" s="3" t="s">
        <v>22</v>
      </c>
      <c r="G64" s="3" t="s">
        <v>58</v>
      </c>
      <c r="H64" s="3" t="str">
        <f>"26"</f>
        <v>26</v>
      </c>
      <c r="I64" s="7">
        <v>70.1</v>
      </c>
      <c r="J64" s="7">
        <v>83.94</v>
      </c>
      <c r="K64" s="8">
        <v>75.636</v>
      </c>
    </row>
    <row r="65" ht="30" customHeight="1" spans="1:11">
      <c r="A65" s="5">
        <v>2372</v>
      </c>
      <c r="B65" s="6" t="s">
        <v>59</v>
      </c>
      <c r="C65" s="6" t="s">
        <v>19</v>
      </c>
      <c r="D65" s="6" t="s">
        <v>20</v>
      </c>
      <c r="E65" s="6" t="s">
        <v>60</v>
      </c>
      <c r="F65" s="5" t="s">
        <v>61</v>
      </c>
      <c r="G65" s="6" t="s">
        <v>13</v>
      </c>
      <c r="H65" s="6" t="s">
        <v>62</v>
      </c>
      <c r="I65" s="9">
        <v>78.3</v>
      </c>
      <c r="J65" s="10">
        <v>87.1</v>
      </c>
      <c r="K65" s="8">
        <v>81.82</v>
      </c>
    </row>
    <row r="66" ht="30" customHeight="1" spans="1:11">
      <c r="A66" s="5">
        <v>2220</v>
      </c>
      <c r="B66" s="6" t="s">
        <v>63</v>
      </c>
      <c r="C66" s="6" t="s">
        <v>19</v>
      </c>
      <c r="D66" s="6" t="s">
        <v>20</v>
      </c>
      <c r="E66" s="6" t="s">
        <v>64</v>
      </c>
      <c r="F66" s="5" t="s">
        <v>61</v>
      </c>
      <c r="G66" s="6" t="s">
        <v>13</v>
      </c>
      <c r="H66" s="6" t="s">
        <v>62</v>
      </c>
      <c r="I66" s="9">
        <v>79.8</v>
      </c>
      <c r="J66" s="10">
        <v>83</v>
      </c>
      <c r="K66" s="8">
        <v>81.08</v>
      </c>
    </row>
    <row r="67" ht="30" customHeight="1" spans="1:11">
      <c r="A67" s="5">
        <v>2427</v>
      </c>
      <c r="B67" s="6" t="s">
        <v>65</v>
      </c>
      <c r="C67" s="6" t="s">
        <v>19</v>
      </c>
      <c r="D67" s="6" t="s">
        <v>20</v>
      </c>
      <c r="E67" s="6" t="s">
        <v>66</v>
      </c>
      <c r="F67" s="5" t="s">
        <v>61</v>
      </c>
      <c r="G67" s="6" t="s">
        <v>13</v>
      </c>
      <c r="H67" s="6" t="s">
        <v>62</v>
      </c>
      <c r="I67" s="9">
        <v>73.8</v>
      </c>
      <c r="J67" s="10">
        <v>90.9</v>
      </c>
      <c r="K67" s="8">
        <v>80.64</v>
      </c>
    </row>
    <row r="68" ht="30" customHeight="1" spans="1:11">
      <c r="A68" s="5">
        <v>2048</v>
      </c>
      <c r="B68" s="6" t="s">
        <v>67</v>
      </c>
      <c r="C68" s="6" t="s">
        <v>19</v>
      </c>
      <c r="D68" s="6" t="s">
        <v>20</v>
      </c>
      <c r="E68" s="6" t="s">
        <v>68</v>
      </c>
      <c r="F68" s="5" t="s">
        <v>61</v>
      </c>
      <c r="G68" s="6" t="s">
        <v>13</v>
      </c>
      <c r="H68" s="6" t="s">
        <v>62</v>
      </c>
      <c r="I68" s="9">
        <v>76.05</v>
      </c>
      <c r="J68" s="10">
        <v>87.52</v>
      </c>
      <c r="K68" s="8">
        <v>80.638</v>
      </c>
    </row>
    <row r="69" ht="30" customHeight="1" spans="1:11">
      <c r="A69" s="5">
        <v>2056</v>
      </c>
      <c r="B69" s="6" t="s">
        <v>69</v>
      </c>
      <c r="C69" s="6" t="s">
        <v>19</v>
      </c>
      <c r="D69" s="6" t="s">
        <v>20</v>
      </c>
      <c r="E69" s="6" t="s">
        <v>70</v>
      </c>
      <c r="F69" s="5" t="s">
        <v>61</v>
      </c>
      <c r="G69" s="6" t="s">
        <v>13</v>
      </c>
      <c r="H69" s="6" t="s">
        <v>62</v>
      </c>
      <c r="I69" s="9">
        <v>74.05</v>
      </c>
      <c r="J69" s="10">
        <v>89.22</v>
      </c>
      <c r="K69" s="8">
        <v>80.118</v>
      </c>
    </row>
    <row r="70" ht="30" customHeight="1" spans="1:11">
      <c r="A70" s="5">
        <v>1852</v>
      </c>
      <c r="B70" s="6" t="s">
        <v>71</v>
      </c>
      <c r="C70" s="6" t="s">
        <v>19</v>
      </c>
      <c r="D70" s="6" t="s">
        <v>20</v>
      </c>
      <c r="E70" s="6" t="s">
        <v>72</v>
      </c>
      <c r="F70" s="5" t="s">
        <v>61</v>
      </c>
      <c r="G70" s="6" t="s">
        <v>13</v>
      </c>
      <c r="H70" s="6" t="s">
        <v>62</v>
      </c>
      <c r="I70" s="9">
        <v>73.5</v>
      </c>
      <c r="J70" s="10">
        <v>88.36</v>
      </c>
      <c r="K70" s="8">
        <v>79.444</v>
      </c>
    </row>
    <row r="71" ht="30" customHeight="1" spans="1:11">
      <c r="A71" s="5">
        <v>1922</v>
      </c>
      <c r="B71" s="6" t="s">
        <v>73</v>
      </c>
      <c r="C71" s="6" t="s">
        <v>19</v>
      </c>
      <c r="D71" s="6" t="s">
        <v>20</v>
      </c>
      <c r="E71" s="6" t="s">
        <v>74</v>
      </c>
      <c r="F71" s="5" t="s">
        <v>61</v>
      </c>
      <c r="G71" s="6" t="s">
        <v>13</v>
      </c>
      <c r="H71" s="6" t="s">
        <v>62</v>
      </c>
      <c r="I71" s="9">
        <v>72.9</v>
      </c>
      <c r="J71" s="10">
        <v>88.14</v>
      </c>
      <c r="K71" s="8">
        <v>78.996</v>
      </c>
    </row>
    <row r="72" ht="30" customHeight="1" spans="1:11">
      <c r="A72" s="5">
        <v>2362</v>
      </c>
      <c r="B72" s="6" t="s">
        <v>75</v>
      </c>
      <c r="C72" s="6" t="s">
        <v>19</v>
      </c>
      <c r="D72" s="6" t="s">
        <v>20</v>
      </c>
      <c r="E72" s="6" t="s">
        <v>76</v>
      </c>
      <c r="F72" s="5" t="s">
        <v>61</v>
      </c>
      <c r="G72" s="6" t="s">
        <v>13</v>
      </c>
      <c r="H72" s="6" t="s">
        <v>62</v>
      </c>
      <c r="I72" s="9">
        <v>71.55</v>
      </c>
      <c r="J72" s="10">
        <v>89.2</v>
      </c>
      <c r="K72" s="8">
        <v>78.61</v>
      </c>
    </row>
    <row r="73" ht="30" customHeight="1" spans="1:11">
      <c r="A73" s="5">
        <v>2024</v>
      </c>
      <c r="B73" s="6" t="s">
        <v>77</v>
      </c>
      <c r="C73" s="6" t="s">
        <v>19</v>
      </c>
      <c r="D73" s="6" t="s">
        <v>20</v>
      </c>
      <c r="E73" s="6" t="s">
        <v>78</v>
      </c>
      <c r="F73" s="5" t="s">
        <v>61</v>
      </c>
      <c r="G73" s="6" t="s">
        <v>13</v>
      </c>
      <c r="H73" s="6" t="s">
        <v>62</v>
      </c>
      <c r="I73" s="9">
        <v>71.7</v>
      </c>
      <c r="J73" s="10">
        <v>86.72</v>
      </c>
      <c r="K73" s="8">
        <v>77.708</v>
      </c>
    </row>
    <row r="74" ht="30" customHeight="1" spans="1:11">
      <c r="A74" s="5">
        <v>1779</v>
      </c>
      <c r="B74" s="6" t="s">
        <v>79</v>
      </c>
      <c r="C74" s="6" t="s">
        <v>19</v>
      </c>
      <c r="D74" s="6" t="s">
        <v>20</v>
      </c>
      <c r="E74" s="6" t="s">
        <v>80</v>
      </c>
      <c r="F74" s="5" t="s">
        <v>61</v>
      </c>
      <c r="G74" s="6" t="s">
        <v>13</v>
      </c>
      <c r="H74" s="6" t="s">
        <v>62</v>
      </c>
      <c r="I74" s="9">
        <v>72.25</v>
      </c>
      <c r="J74" s="10">
        <v>85.06</v>
      </c>
      <c r="K74" s="8">
        <v>77.374</v>
      </c>
    </row>
    <row r="75" ht="30" customHeight="1" spans="1:11">
      <c r="A75" s="5">
        <v>2105</v>
      </c>
      <c r="B75" s="6" t="s">
        <v>81</v>
      </c>
      <c r="C75" s="6" t="s">
        <v>19</v>
      </c>
      <c r="D75" s="6" t="s">
        <v>20</v>
      </c>
      <c r="E75" s="6" t="s">
        <v>82</v>
      </c>
      <c r="F75" s="5" t="s">
        <v>61</v>
      </c>
      <c r="G75" s="6" t="s">
        <v>13</v>
      </c>
      <c r="H75" s="6" t="s">
        <v>62</v>
      </c>
      <c r="I75" s="9">
        <v>73.7</v>
      </c>
      <c r="J75" s="10">
        <v>82.6</v>
      </c>
      <c r="K75" s="8">
        <v>77.26</v>
      </c>
    </row>
    <row r="76" ht="30" customHeight="1" spans="1:11">
      <c r="A76" s="5">
        <v>1826</v>
      </c>
      <c r="B76" s="6" t="s">
        <v>83</v>
      </c>
      <c r="C76" s="6" t="s">
        <v>19</v>
      </c>
      <c r="D76" s="6" t="s">
        <v>20</v>
      </c>
      <c r="E76" s="6" t="s">
        <v>84</v>
      </c>
      <c r="F76" s="5" t="s">
        <v>61</v>
      </c>
      <c r="G76" s="6" t="s">
        <v>13</v>
      </c>
      <c r="H76" s="6" t="s">
        <v>62</v>
      </c>
      <c r="I76" s="9">
        <v>75.05</v>
      </c>
      <c r="J76" s="10">
        <v>80.4</v>
      </c>
      <c r="K76" s="8">
        <v>77.19</v>
      </c>
    </row>
    <row r="77" ht="30" customHeight="1" spans="1:11">
      <c r="A77" s="5">
        <v>1903</v>
      </c>
      <c r="B77" s="6" t="s">
        <v>85</v>
      </c>
      <c r="C77" s="6" t="s">
        <v>19</v>
      </c>
      <c r="D77" s="6" t="s">
        <v>20</v>
      </c>
      <c r="E77" s="6" t="s">
        <v>86</v>
      </c>
      <c r="F77" s="5" t="s">
        <v>61</v>
      </c>
      <c r="G77" s="6" t="s">
        <v>13</v>
      </c>
      <c r="H77" s="6" t="s">
        <v>62</v>
      </c>
      <c r="I77" s="9">
        <v>71.75</v>
      </c>
      <c r="J77" s="10">
        <v>84.2</v>
      </c>
      <c r="K77" s="8">
        <v>76.73</v>
      </c>
    </row>
    <row r="78" ht="30" customHeight="1" spans="1:11">
      <c r="A78" s="5">
        <v>2410</v>
      </c>
      <c r="B78" s="6" t="s">
        <v>87</v>
      </c>
      <c r="C78" s="6" t="s">
        <v>19</v>
      </c>
      <c r="D78" s="6" t="s">
        <v>20</v>
      </c>
      <c r="E78" s="6" t="s">
        <v>88</v>
      </c>
      <c r="F78" s="5" t="s">
        <v>61</v>
      </c>
      <c r="G78" s="6" t="s">
        <v>13</v>
      </c>
      <c r="H78" s="6" t="s">
        <v>62</v>
      </c>
      <c r="I78" s="9">
        <v>71.7</v>
      </c>
      <c r="J78" s="10">
        <v>84.2</v>
      </c>
      <c r="K78" s="8">
        <v>76.7</v>
      </c>
    </row>
    <row r="79" ht="30" customHeight="1" spans="1:11">
      <c r="A79" s="5">
        <v>2669</v>
      </c>
      <c r="B79" s="6" t="s">
        <v>89</v>
      </c>
      <c r="C79" s="6" t="s">
        <v>19</v>
      </c>
      <c r="D79" s="6" t="s">
        <v>90</v>
      </c>
      <c r="E79" s="6" t="s">
        <v>91</v>
      </c>
      <c r="F79" s="5" t="s">
        <v>61</v>
      </c>
      <c r="G79" s="6" t="s">
        <v>37</v>
      </c>
      <c r="H79" s="6" t="s">
        <v>92</v>
      </c>
      <c r="I79" s="9">
        <v>75.85</v>
      </c>
      <c r="J79" s="10">
        <v>83.7</v>
      </c>
      <c r="K79" s="8">
        <v>78.99</v>
      </c>
    </row>
    <row r="80" ht="30" customHeight="1" spans="1:11">
      <c r="A80" s="5">
        <v>2716</v>
      </c>
      <c r="B80" s="6" t="s">
        <v>93</v>
      </c>
      <c r="C80" s="6" t="s">
        <v>19</v>
      </c>
      <c r="D80" s="6" t="s">
        <v>20</v>
      </c>
      <c r="E80" s="6" t="s">
        <v>94</v>
      </c>
      <c r="F80" s="5" t="s">
        <v>61</v>
      </c>
      <c r="G80" s="6" t="s">
        <v>37</v>
      </c>
      <c r="H80" s="6" t="s">
        <v>92</v>
      </c>
      <c r="I80" s="9">
        <v>74.4</v>
      </c>
      <c r="J80" s="10">
        <v>85.74</v>
      </c>
      <c r="K80" s="8">
        <v>78.936</v>
      </c>
    </row>
    <row r="81" ht="30" customHeight="1" spans="1:11">
      <c r="A81" s="5">
        <v>2575</v>
      </c>
      <c r="B81" s="6" t="s">
        <v>95</v>
      </c>
      <c r="C81" s="6" t="s">
        <v>19</v>
      </c>
      <c r="D81" s="6" t="s">
        <v>20</v>
      </c>
      <c r="E81" s="6" t="s">
        <v>96</v>
      </c>
      <c r="F81" s="5" t="s">
        <v>61</v>
      </c>
      <c r="G81" s="6" t="s">
        <v>37</v>
      </c>
      <c r="H81" s="6" t="s">
        <v>92</v>
      </c>
      <c r="I81" s="9">
        <v>75.45</v>
      </c>
      <c r="J81" s="10">
        <v>82.04</v>
      </c>
      <c r="K81" s="8">
        <v>78.086</v>
      </c>
    </row>
    <row r="82" ht="30" customHeight="1" spans="1:11">
      <c r="A82" s="5">
        <v>2621</v>
      </c>
      <c r="B82" s="6" t="s">
        <v>97</v>
      </c>
      <c r="C82" s="6" t="s">
        <v>19</v>
      </c>
      <c r="D82" s="6" t="s">
        <v>20</v>
      </c>
      <c r="E82" s="6" t="s">
        <v>98</v>
      </c>
      <c r="F82" s="5" t="s">
        <v>61</v>
      </c>
      <c r="G82" s="6" t="s">
        <v>37</v>
      </c>
      <c r="H82" s="6" t="s">
        <v>92</v>
      </c>
      <c r="I82" s="9">
        <v>71.05</v>
      </c>
      <c r="J82" s="10">
        <v>87.46</v>
      </c>
      <c r="K82" s="8">
        <v>77.614</v>
      </c>
    </row>
    <row r="83" ht="30" customHeight="1" spans="1:11">
      <c r="A83" s="5">
        <v>2713</v>
      </c>
      <c r="B83" s="6" t="s">
        <v>99</v>
      </c>
      <c r="C83" s="6" t="s">
        <v>19</v>
      </c>
      <c r="D83" s="6" t="s">
        <v>20</v>
      </c>
      <c r="E83" s="6" t="s">
        <v>100</v>
      </c>
      <c r="F83" s="5" t="s">
        <v>61</v>
      </c>
      <c r="G83" s="6" t="s">
        <v>37</v>
      </c>
      <c r="H83" s="6" t="s">
        <v>92</v>
      </c>
      <c r="I83" s="9">
        <v>70.3</v>
      </c>
      <c r="J83" s="10">
        <v>87.5</v>
      </c>
      <c r="K83" s="8">
        <v>77.18</v>
      </c>
    </row>
    <row r="84" ht="30" customHeight="1" spans="1:11">
      <c r="A84" s="5">
        <v>2737</v>
      </c>
      <c r="B84" s="6" t="s">
        <v>101</v>
      </c>
      <c r="C84" s="6" t="s">
        <v>19</v>
      </c>
      <c r="D84" s="6" t="s">
        <v>20</v>
      </c>
      <c r="E84" s="6" t="s">
        <v>102</v>
      </c>
      <c r="F84" s="5" t="s">
        <v>61</v>
      </c>
      <c r="G84" s="6" t="s">
        <v>37</v>
      </c>
      <c r="H84" s="6" t="s">
        <v>92</v>
      </c>
      <c r="I84" s="9">
        <v>71.15</v>
      </c>
      <c r="J84" s="10">
        <v>85.14</v>
      </c>
      <c r="K84" s="8">
        <v>76.746</v>
      </c>
    </row>
    <row r="85" ht="30" customHeight="1" spans="1:11">
      <c r="A85" s="5">
        <v>2583</v>
      </c>
      <c r="B85" s="6" t="s">
        <v>103</v>
      </c>
      <c r="C85" s="6" t="s">
        <v>19</v>
      </c>
      <c r="D85" s="6" t="s">
        <v>20</v>
      </c>
      <c r="E85" s="6" t="s">
        <v>104</v>
      </c>
      <c r="F85" s="5" t="s">
        <v>61</v>
      </c>
      <c r="G85" s="6" t="s">
        <v>37</v>
      </c>
      <c r="H85" s="6" t="s">
        <v>92</v>
      </c>
      <c r="I85" s="9">
        <v>69.9</v>
      </c>
      <c r="J85" s="10">
        <v>86.92</v>
      </c>
      <c r="K85" s="8">
        <v>76.708</v>
      </c>
    </row>
    <row r="86" ht="30" customHeight="1" spans="1:11">
      <c r="A86" s="5">
        <v>2487</v>
      </c>
      <c r="B86" s="6" t="s">
        <v>105</v>
      </c>
      <c r="C86" s="6" t="s">
        <v>19</v>
      </c>
      <c r="D86" s="6" t="s">
        <v>20</v>
      </c>
      <c r="E86" s="6" t="s">
        <v>106</v>
      </c>
      <c r="F86" s="5" t="s">
        <v>61</v>
      </c>
      <c r="G86" s="6" t="s">
        <v>37</v>
      </c>
      <c r="H86" s="6" t="s">
        <v>92</v>
      </c>
      <c r="I86" s="9">
        <v>68.95</v>
      </c>
      <c r="J86" s="10">
        <v>85.44</v>
      </c>
      <c r="K86" s="8">
        <v>75.546</v>
      </c>
    </row>
    <row r="87" ht="30" customHeight="1" spans="1:11">
      <c r="A87" s="5">
        <v>2618</v>
      </c>
      <c r="B87" s="6" t="s">
        <v>107</v>
      </c>
      <c r="C87" s="6" t="s">
        <v>19</v>
      </c>
      <c r="D87" s="6" t="s">
        <v>20</v>
      </c>
      <c r="E87" s="6" t="s">
        <v>108</v>
      </c>
      <c r="F87" s="5" t="s">
        <v>61</v>
      </c>
      <c r="G87" s="6" t="s">
        <v>37</v>
      </c>
      <c r="H87" s="6" t="s">
        <v>92</v>
      </c>
      <c r="I87" s="9">
        <v>69</v>
      </c>
      <c r="J87" s="10">
        <v>85.14</v>
      </c>
      <c r="K87" s="8">
        <v>75.456</v>
      </c>
    </row>
    <row r="88" ht="30" customHeight="1" spans="1:11">
      <c r="A88" s="5">
        <v>2550</v>
      </c>
      <c r="B88" s="6" t="s">
        <v>109</v>
      </c>
      <c r="C88" s="6" t="s">
        <v>19</v>
      </c>
      <c r="D88" s="6" t="s">
        <v>20</v>
      </c>
      <c r="E88" s="6" t="s">
        <v>110</v>
      </c>
      <c r="F88" s="5" t="s">
        <v>61</v>
      </c>
      <c r="G88" s="6" t="s">
        <v>37</v>
      </c>
      <c r="H88" s="6" t="s">
        <v>92</v>
      </c>
      <c r="I88" s="9">
        <v>69</v>
      </c>
      <c r="J88" s="10">
        <v>84.9</v>
      </c>
      <c r="K88" s="8">
        <v>75.36</v>
      </c>
    </row>
    <row r="89" ht="30" customHeight="1" spans="1:11">
      <c r="A89" s="5">
        <v>2666</v>
      </c>
      <c r="B89" s="6" t="s">
        <v>111</v>
      </c>
      <c r="C89" s="6" t="s">
        <v>19</v>
      </c>
      <c r="D89" s="6" t="s">
        <v>20</v>
      </c>
      <c r="E89" s="6" t="s">
        <v>112</v>
      </c>
      <c r="F89" s="5" t="s">
        <v>61</v>
      </c>
      <c r="G89" s="6" t="s">
        <v>37</v>
      </c>
      <c r="H89" s="6" t="s">
        <v>92</v>
      </c>
      <c r="I89" s="9">
        <v>70.2</v>
      </c>
      <c r="J89" s="10">
        <v>74.8</v>
      </c>
      <c r="K89" s="8">
        <v>72.04</v>
      </c>
    </row>
    <row r="90" ht="30" customHeight="1" spans="1:11">
      <c r="A90" s="5">
        <v>2642</v>
      </c>
      <c r="B90" s="6" t="s">
        <v>113</v>
      </c>
      <c r="C90" s="6" t="s">
        <v>19</v>
      </c>
      <c r="D90" s="6" t="s">
        <v>20</v>
      </c>
      <c r="E90" s="6" t="s">
        <v>114</v>
      </c>
      <c r="F90" s="5" t="s">
        <v>61</v>
      </c>
      <c r="G90" s="6" t="s">
        <v>37</v>
      </c>
      <c r="H90" s="6" t="s">
        <v>92</v>
      </c>
      <c r="I90" s="9">
        <v>75.55</v>
      </c>
      <c r="J90" s="11" t="s">
        <v>52</v>
      </c>
      <c r="K90" s="8">
        <v>45.33</v>
      </c>
    </row>
    <row r="91" ht="30" customHeight="1" spans="1:11">
      <c r="A91" s="5">
        <v>2585</v>
      </c>
      <c r="B91" s="6" t="s">
        <v>115</v>
      </c>
      <c r="C91" s="6" t="s">
        <v>19</v>
      </c>
      <c r="D91" s="6" t="s">
        <v>20</v>
      </c>
      <c r="E91" s="6" t="s">
        <v>116</v>
      </c>
      <c r="F91" s="5" t="s">
        <v>61</v>
      </c>
      <c r="G91" s="6" t="s">
        <v>37</v>
      </c>
      <c r="H91" s="6" t="s">
        <v>92</v>
      </c>
      <c r="I91" s="9">
        <v>74.15</v>
      </c>
      <c r="J91" s="11" t="s">
        <v>52</v>
      </c>
      <c r="K91" s="8">
        <v>44.49</v>
      </c>
    </row>
    <row r="92" ht="30" customHeight="1" spans="1:11">
      <c r="A92" s="5">
        <v>2687</v>
      </c>
      <c r="B92" s="6" t="s">
        <v>117</v>
      </c>
      <c r="C92" s="6" t="s">
        <v>19</v>
      </c>
      <c r="D92" s="6" t="s">
        <v>20</v>
      </c>
      <c r="E92" s="6" t="s">
        <v>118</v>
      </c>
      <c r="F92" s="5" t="s">
        <v>61</v>
      </c>
      <c r="G92" s="6" t="s">
        <v>37</v>
      </c>
      <c r="H92" s="6" t="s">
        <v>92</v>
      </c>
      <c r="I92" s="9">
        <v>70.5</v>
      </c>
      <c r="J92" s="11" t="s">
        <v>52</v>
      </c>
      <c r="K92" s="8">
        <v>42.3</v>
      </c>
    </row>
    <row r="93" ht="30" customHeight="1" spans="1:11">
      <c r="A93" s="5">
        <v>2597</v>
      </c>
      <c r="B93" s="6" t="s">
        <v>119</v>
      </c>
      <c r="C93" s="6" t="s">
        <v>19</v>
      </c>
      <c r="D93" s="6" t="s">
        <v>20</v>
      </c>
      <c r="E93" s="6" t="s">
        <v>120</v>
      </c>
      <c r="F93" s="5" t="s">
        <v>61</v>
      </c>
      <c r="G93" s="6" t="s">
        <v>37</v>
      </c>
      <c r="H93" s="6" t="s">
        <v>92</v>
      </c>
      <c r="I93" s="9">
        <v>70</v>
      </c>
      <c r="J93" s="11" t="s">
        <v>52</v>
      </c>
      <c r="K93" s="8">
        <v>42</v>
      </c>
    </row>
    <row r="94" ht="30" customHeight="1" spans="1:11">
      <c r="A94" s="5">
        <v>2523</v>
      </c>
      <c r="B94" s="6" t="s">
        <v>121</v>
      </c>
      <c r="C94" s="6" t="s">
        <v>19</v>
      </c>
      <c r="D94" s="6" t="s">
        <v>20</v>
      </c>
      <c r="E94" s="6" t="s">
        <v>122</v>
      </c>
      <c r="F94" s="5" t="s">
        <v>61</v>
      </c>
      <c r="G94" s="6" t="s">
        <v>37</v>
      </c>
      <c r="H94" s="6" t="s">
        <v>92</v>
      </c>
      <c r="I94" s="9">
        <v>68.95</v>
      </c>
      <c r="J94" s="11" t="s">
        <v>52</v>
      </c>
      <c r="K94" s="8">
        <v>41.37</v>
      </c>
    </row>
    <row r="95" ht="30" customHeight="1" spans="1:11">
      <c r="A95" s="3">
        <v>2965</v>
      </c>
      <c r="B95" s="3" t="str">
        <f>"肖慕华"</f>
        <v>肖慕华</v>
      </c>
      <c r="C95" s="3" t="str">
        <f>"女"</f>
        <v>女</v>
      </c>
      <c r="D95" s="3" t="str">
        <f t="shared" ref="D95:D100" si="7">"汉族"</f>
        <v>汉族</v>
      </c>
      <c r="E95" s="3" t="str">
        <f>"202129033006"</f>
        <v>202129033006</v>
      </c>
      <c r="F95" s="3" t="s">
        <v>61</v>
      </c>
      <c r="G95" s="3" t="s">
        <v>50</v>
      </c>
      <c r="H95" s="3" t="str">
        <f t="shared" ref="H95:H106" si="8">"29"</f>
        <v>29</v>
      </c>
      <c r="I95" s="7">
        <v>95.75</v>
      </c>
      <c r="J95" s="7">
        <v>91.28</v>
      </c>
      <c r="K95" s="8">
        <v>93.962</v>
      </c>
    </row>
    <row r="96" ht="30" customHeight="1" spans="1:11">
      <c r="A96" s="3">
        <v>3001</v>
      </c>
      <c r="B96" s="3" t="str">
        <f>"周婵娟"</f>
        <v>周婵娟</v>
      </c>
      <c r="C96" s="3" t="str">
        <f>"女"</f>
        <v>女</v>
      </c>
      <c r="D96" s="3" t="str">
        <f t="shared" si="7"/>
        <v>汉族</v>
      </c>
      <c r="E96" s="3" t="str">
        <f>"202129032329"</f>
        <v>202129032329</v>
      </c>
      <c r="F96" s="3" t="s">
        <v>61</v>
      </c>
      <c r="G96" s="3" t="s">
        <v>50</v>
      </c>
      <c r="H96" s="3" t="str">
        <f t="shared" si="8"/>
        <v>29</v>
      </c>
      <c r="I96" s="7">
        <v>94.5</v>
      </c>
      <c r="J96" s="7">
        <v>89.42</v>
      </c>
      <c r="K96" s="8">
        <v>92.468</v>
      </c>
    </row>
    <row r="97" ht="30" customHeight="1" spans="1:11">
      <c r="A97" s="3">
        <v>2917</v>
      </c>
      <c r="B97" s="3" t="str">
        <f>"蒋利红"</f>
        <v>蒋利红</v>
      </c>
      <c r="C97" s="3" t="str">
        <f>"女"</f>
        <v>女</v>
      </c>
      <c r="D97" s="3" t="str">
        <f t="shared" si="7"/>
        <v>汉族</v>
      </c>
      <c r="E97" s="3" t="str">
        <f>"202129033415"</f>
        <v>202129033415</v>
      </c>
      <c r="F97" s="3" t="s">
        <v>61</v>
      </c>
      <c r="G97" s="3" t="s">
        <v>50</v>
      </c>
      <c r="H97" s="3" t="str">
        <f t="shared" si="8"/>
        <v>29</v>
      </c>
      <c r="I97" s="7">
        <v>94.75</v>
      </c>
      <c r="J97" s="7">
        <v>88.64</v>
      </c>
      <c r="K97" s="8">
        <v>92.306</v>
      </c>
    </row>
    <row r="98" ht="30" customHeight="1" spans="1:11">
      <c r="A98" s="3">
        <v>3221</v>
      </c>
      <c r="B98" s="3" t="str">
        <f>"陈汝超"</f>
        <v>陈汝超</v>
      </c>
      <c r="C98" s="3" t="str">
        <f>"女"</f>
        <v>女</v>
      </c>
      <c r="D98" s="3" t="str">
        <f t="shared" si="7"/>
        <v>汉族</v>
      </c>
      <c r="E98" s="3" t="str">
        <f>"202129032621"</f>
        <v>202129032621</v>
      </c>
      <c r="F98" s="3" t="s">
        <v>61</v>
      </c>
      <c r="G98" s="3" t="s">
        <v>50</v>
      </c>
      <c r="H98" s="3" t="str">
        <f t="shared" si="8"/>
        <v>29</v>
      </c>
      <c r="I98" s="7">
        <v>94</v>
      </c>
      <c r="J98" s="7">
        <v>88.28</v>
      </c>
      <c r="K98" s="8">
        <v>91.712</v>
      </c>
    </row>
    <row r="99" ht="30" customHeight="1" spans="1:11">
      <c r="A99" s="3">
        <v>2983</v>
      </c>
      <c r="B99" s="3" t="str">
        <f>"胡嵩巍"</f>
        <v>胡嵩巍</v>
      </c>
      <c r="C99" s="3" t="str">
        <f>"男"</f>
        <v>男</v>
      </c>
      <c r="D99" s="3" t="str">
        <f t="shared" si="7"/>
        <v>汉族</v>
      </c>
      <c r="E99" s="3" t="str">
        <f>"202129032225"</f>
        <v>202129032225</v>
      </c>
      <c r="F99" s="3" t="s">
        <v>61</v>
      </c>
      <c r="G99" s="3" t="s">
        <v>50</v>
      </c>
      <c r="H99" s="3" t="str">
        <f t="shared" si="8"/>
        <v>29</v>
      </c>
      <c r="I99" s="7">
        <v>94</v>
      </c>
      <c r="J99" s="7">
        <v>87.08</v>
      </c>
      <c r="K99" s="8">
        <v>91.232</v>
      </c>
    </row>
    <row r="100" ht="30" customHeight="1" spans="1:11">
      <c r="A100" s="3">
        <v>2821</v>
      </c>
      <c r="B100" s="3" t="str">
        <f>"杨洁"</f>
        <v>杨洁</v>
      </c>
      <c r="C100" s="3" t="str">
        <f>"女"</f>
        <v>女</v>
      </c>
      <c r="D100" s="3" t="str">
        <f t="shared" si="7"/>
        <v>汉族</v>
      </c>
      <c r="E100" s="3" t="str">
        <f>"202129033414"</f>
        <v>202129033414</v>
      </c>
      <c r="F100" s="3" t="s">
        <v>61</v>
      </c>
      <c r="G100" s="3" t="s">
        <v>50</v>
      </c>
      <c r="H100" s="3" t="str">
        <f t="shared" si="8"/>
        <v>29</v>
      </c>
      <c r="I100" s="7">
        <v>93.05</v>
      </c>
      <c r="J100" s="7">
        <v>86.94</v>
      </c>
      <c r="K100" s="8">
        <v>90.606</v>
      </c>
    </row>
    <row r="101" ht="30" customHeight="1" spans="1:11">
      <c r="A101" s="3">
        <v>2973</v>
      </c>
      <c r="B101" s="3" t="str">
        <f>"刘卓"</f>
        <v>刘卓</v>
      </c>
      <c r="C101" s="3" t="str">
        <f>"女"</f>
        <v>女</v>
      </c>
      <c r="D101" s="3" t="str">
        <f>"苗族"</f>
        <v>苗族</v>
      </c>
      <c r="E101" s="3" t="str">
        <f>"202129032111"</f>
        <v>202129032111</v>
      </c>
      <c r="F101" s="3" t="s">
        <v>61</v>
      </c>
      <c r="G101" s="3" t="s">
        <v>50</v>
      </c>
      <c r="H101" s="3" t="str">
        <f t="shared" si="8"/>
        <v>29</v>
      </c>
      <c r="I101" s="7">
        <v>93</v>
      </c>
      <c r="J101" s="7">
        <v>83.02</v>
      </c>
      <c r="K101" s="8">
        <v>89.008</v>
      </c>
    </row>
    <row r="102" ht="30" customHeight="1" spans="1:11">
      <c r="A102" s="3">
        <v>2922</v>
      </c>
      <c r="B102" s="3" t="str">
        <f>"屈济勇"</f>
        <v>屈济勇</v>
      </c>
      <c r="C102" s="3" t="str">
        <f>"男"</f>
        <v>男</v>
      </c>
      <c r="D102" s="3" t="str">
        <f>"汉族"</f>
        <v>汉族</v>
      </c>
      <c r="E102" s="3" t="str">
        <f>"202129032909"</f>
        <v>202129032909</v>
      </c>
      <c r="F102" s="3" t="s">
        <v>61</v>
      </c>
      <c r="G102" s="3" t="s">
        <v>50</v>
      </c>
      <c r="H102" s="3" t="str">
        <f t="shared" si="8"/>
        <v>29</v>
      </c>
      <c r="I102" s="7">
        <v>93</v>
      </c>
      <c r="J102" s="7">
        <v>82.7</v>
      </c>
      <c r="K102" s="8">
        <v>88.88</v>
      </c>
    </row>
    <row r="103" ht="30" customHeight="1" spans="1:11">
      <c r="A103" s="3">
        <v>2909</v>
      </c>
      <c r="B103" s="3" t="str">
        <f>"蒋琰"</f>
        <v>蒋琰</v>
      </c>
      <c r="C103" s="3" t="str">
        <f>"女"</f>
        <v>女</v>
      </c>
      <c r="D103" s="3" t="str">
        <f>"汉族"</f>
        <v>汉族</v>
      </c>
      <c r="E103" s="3" t="str">
        <f>"202129032525"</f>
        <v>202129032525</v>
      </c>
      <c r="F103" s="3" t="s">
        <v>61</v>
      </c>
      <c r="G103" s="3" t="s">
        <v>50</v>
      </c>
      <c r="H103" s="3" t="str">
        <f t="shared" si="8"/>
        <v>29</v>
      </c>
      <c r="I103" s="7">
        <v>95</v>
      </c>
      <c r="J103" s="7">
        <v>78.68</v>
      </c>
      <c r="K103" s="8">
        <v>88.472</v>
      </c>
    </row>
    <row r="104" ht="30" customHeight="1" spans="1:11">
      <c r="A104" s="3">
        <v>3228</v>
      </c>
      <c r="B104" s="3" t="str">
        <f>"杨军燕"</f>
        <v>杨军燕</v>
      </c>
      <c r="C104" s="3" t="str">
        <f>"女"</f>
        <v>女</v>
      </c>
      <c r="D104" s="3" t="str">
        <f>"汉族"</f>
        <v>汉族</v>
      </c>
      <c r="E104" s="3" t="str">
        <f>"202129032617"</f>
        <v>202129032617</v>
      </c>
      <c r="F104" s="3" t="s">
        <v>61</v>
      </c>
      <c r="G104" s="3" t="s">
        <v>50</v>
      </c>
      <c r="H104" s="3" t="str">
        <f t="shared" si="8"/>
        <v>29</v>
      </c>
      <c r="I104" s="7">
        <v>93</v>
      </c>
      <c r="J104" s="7">
        <v>80.84</v>
      </c>
      <c r="K104" s="8">
        <v>88.136</v>
      </c>
    </row>
    <row r="105" ht="30" customHeight="1" spans="1:11">
      <c r="A105" s="3">
        <v>2939</v>
      </c>
      <c r="B105" s="3" t="str">
        <f>"周艳飞"</f>
        <v>周艳飞</v>
      </c>
      <c r="C105" s="3" t="str">
        <f>"女"</f>
        <v>女</v>
      </c>
      <c r="D105" s="3" t="str">
        <f>"汉族"</f>
        <v>汉族</v>
      </c>
      <c r="E105" s="3" t="str">
        <f>"202129031725"</f>
        <v>202129031725</v>
      </c>
      <c r="F105" s="3" t="s">
        <v>61</v>
      </c>
      <c r="G105" s="3" t="s">
        <v>50</v>
      </c>
      <c r="H105" s="3" t="str">
        <f t="shared" si="8"/>
        <v>29</v>
      </c>
      <c r="I105" s="7">
        <v>94.75</v>
      </c>
      <c r="J105" s="11" t="s">
        <v>52</v>
      </c>
      <c r="K105" s="8">
        <v>56.85</v>
      </c>
    </row>
    <row r="106" ht="30" customHeight="1" spans="1:11">
      <c r="A106" s="3">
        <v>3237</v>
      </c>
      <c r="B106" s="3" t="str">
        <f>"钟丹"</f>
        <v>钟丹</v>
      </c>
      <c r="C106" s="3" t="str">
        <f>"女"</f>
        <v>女</v>
      </c>
      <c r="D106" s="3" t="str">
        <f>"汉族"</f>
        <v>汉族</v>
      </c>
      <c r="E106" s="3" t="str">
        <f>"202129031728"</f>
        <v>202129031728</v>
      </c>
      <c r="F106" s="3" t="s">
        <v>61</v>
      </c>
      <c r="G106" s="3" t="s">
        <v>50</v>
      </c>
      <c r="H106" s="3" t="str">
        <f t="shared" si="8"/>
        <v>29</v>
      </c>
      <c r="I106" s="7">
        <v>93.3</v>
      </c>
      <c r="J106" s="11" t="s">
        <v>52</v>
      </c>
      <c r="K106" s="8">
        <v>55.98</v>
      </c>
    </row>
    <row r="107" ht="30" customHeight="1" spans="1:11">
      <c r="A107" s="3">
        <v>3292</v>
      </c>
      <c r="B107" s="3" t="str">
        <f>"朱时方"</f>
        <v>朱时方</v>
      </c>
      <c r="C107" s="3" t="str">
        <f>"男"</f>
        <v>男</v>
      </c>
      <c r="D107" s="3" t="str">
        <f>"苗族"</f>
        <v>苗族</v>
      </c>
      <c r="E107" s="3" t="str">
        <f>"202103034311"</f>
        <v>202103034311</v>
      </c>
      <c r="F107" s="3" t="s">
        <v>12</v>
      </c>
      <c r="G107" s="3" t="s">
        <v>50</v>
      </c>
      <c r="H107" s="3" t="str">
        <f>"3"</f>
        <v>3</v>
      </c>
      <c r="I107" s="7">
        <v>82.4</v>
      </c>
      <c r="J107" s="7">
        <v>87.6</v>
      </c>
      <c r="K107" s="8">
        <v>84.48</v>
      </c>
    </row>
    <row r="108" ht="30" customHeight="1" spans="1:11">
      <c r="A108" s="3">
        <v>3277</v>
      </c>
      <c r="B108" s="3" t="str">
        <f>"陈明发"</f>
        <v>陈明发</v>
      </c>
      <c r="C108" s="3" t="str">
        <f>"男"</f>
        <v>男</v>
      </c>
      <c r="D108" s="3" t="str">
        <f t="shared" ref="D108:D127" si="9">"汉族"</f>
        <v>汉族</v>
      </c>
      <c r="E108" s="3" t="str">
        <f>"202103034316"</f>
        <v>202103034316</v>
      </c>
      <c r="F108" s="3" t="s">
        <v>12</v>
      </c>
      <c r="G108" s="3" t="s">
        <v>50</v>
      </c>
      <c r="H108" s="3" t="str">
        <f>"3"</f>
        <v>3</v>
      </c>
      <c r="I108" s="7">
        <v>79.7</v>
      </c>
      <c r="J108" s="11" t="s">
        <v>52</v>
      </c>
      <c r="K108" s="8">
        <v>47.82</v>
      </c>
    </row>
    <row r="109" ht="30" customHeight="1" spans="1:11">
      <c r="A109" s="3">
        <v>3428</v>
      </c>
      <c r="B109" s="3" t="str">
        <f>"岳菊红"</f>
        <v>岳菊红</v>
      </c>
      <c r="C109" s="3" t="str">
        <f>"女"</f>
        <v>女</v>
      </c>
      <c r="D109" s="3" t="str">
        <f t="shared" si="9"/>
        <v>汉族</v>
      </c>
      <c r="E109" s="3" t="str">
        <f>"202130033821"</f>
        <v>202130033821</v>
      </c>
      <c r="F109" s="3" t="s">
        <v>61</v>
      </c>
      <c r="G109" s="3" t="s">
        <v>16</v>
      </c>
      <c r="H109" s="3" t="str">
        <f t="shared" ref="H109:H128" si="10">"30"</f>
        <v>30</v>
      </c>
      <c r="I109" s="7">
        <v>90.75</v>
      </c>
      <c r="J109" s="7">
        <v>92.46</v>
      </c>
      <c r="K109" s="8">
        <v>91.434</v>
      </c>
    </row>
    <row r="110" ht="30" customHeight="1" spans="1:11">
      <c r="A110" s="3">
        <v>3369</v>
      </c>
      <c r="B110" s="3" t="str">
        <f>"刘锦"</f>
        <v>刘锦</v>
      </c>
      <c r="C110" s="3" t="str">
        <f>"男"</f>
        <v>男</v>
      </c>
      <c r="D110" s="3" t="str">
        <f t="shared" si="9"/>
        <v>汉族</v>
      </c>
      <c r="E110" s="3" t="str">
        <f>"202130034114"</f>
        <v>202130034114</v>
      </c>
      <c r="F110" s="3" t="s">
        <v>61</v>
      </c>
      <c r="G110" s="3" t="s">
        <v>16</v>
      </c>
      <c r="H110" s="3" t="str">
        <f t="shared" si="10"/>
        <v>30</v>
      </c>
      <c r="I110" s="7">
        <v>90.25</v>
      </c>
      <c r="J110" s="7">
        <v>90.68</v>
      </c>
      <c r="K110" s="8">
        <v>90.422</v>
      </c>
    </row>
    <row r="111" ht="30" customHeight="1" spans="1:11">
      <c r="A111" s="3">
        <v>3510</v>
      </c>
      <c r="B111" s="3" t="str">
        <f>"胡瑶"</f>
        <v>胡瑶</v>
      </c>
      <c r="C111" s="3" t="str">
        <f t="shared" ref="C111:C125" si="11">"女"</f>
        <v>女</v>
      </c>
      <c r="D111" s="3" t="str">
        <f t="shared" si="9"/>
        <v>汉族</v>
      </c>
      <c r="E111" s="3" t="str">
        <f>"202130033508"</f>
        <v>202130033508</v>
      </c>
      <c r="F111" s="3" t="s">
        <v>61</v>
      </c>
      <c r="G111" s="3" t="s">
        <v>16</v>
      </c>
      <c r="H111" s="3" t="str">
        <f t="shared" si="10"/>
        <v>30</v>
      </c>
      <c r="I111" s="7">
        <v>91</v>
      </c>
      <c r="J111" s="7">
        <v>87.36</v>
      </c>
      <c r="K111" s="8">
        <v>89.544</v>
      </c>
    </row>
    <row r="112" ht="30" customHeight="1" spans="1:11">
      <c r="A112" s="3">
        <v>3420</v>
      </c>
      <c r="B112" s="3" t="str">
        <f>"简香平"</f>
        <v>简香平</v>
      </c>
      <c r="C112" s="3" t="str">
        <f t="shared" si="11"/>
        <v>女</v>
      </c>
      <c r="D112" s="3" t="str">
        <f t="shared" si="9"/>
        <v>汉族</v>
      </c>
      <c r="E112" s="3" t="str">
        <f>"202130033816"</f>
        <v>202130033816</v>
      </c>
      <c r="F112" s="3" t="s">
        <v>61</v>
      </c>
      <c r="G112" s="3" t="s">
        <v>16</v>
      </c>
      <c r="H112" s="3" t="str">
        <f t="shared" si="10"/>
        <v>30</v>
      </c>
      <c r="I112" s="7">
        <v>93.25</v>
      </c>
      <c r="J112" s="7">
        <v>83.12</v>
      </c>
      <c r="K112" s="8">
        <v>89.198</v>
      </c>
    </row>
    <row r="113" ht="30" customHeight="1" spans="1:11">
      <c r="A113" s="3">
        <v>3494</v>
      </c>
      <c r="B113" s="3" t="str">
        <f>"阳艾令"</f>
        <v>阳艾令</v>
      </c>
      <c r="C113" s="3" t="str">
        <f t="shared" si="11"/>
        <v>女</v>
      </c>
      <c r="D113" s="3" t="str">
        <f t="shared" si="9"/>
        <v>汉族</v>
      </c>
      <c r="E113" s="3" t="str">
        <f>"202130033718"</f>
        <v>202130033718</v>
      </c>
      <c r="F113" s="3" t="s">
        <v>61</v>
      </c>
      <c r="G113" s="3" t="s">
        <v>16</v>
      </c>
      <c r="H113" s="3" t="str">
        <f t="shared" si="10"/>
        <v>30</v>
      </c>
      <c r="I113" s="7">
        <v>93</v>
      </c>
      <c r="J113" s="7">
        <v>83.42</v>
      </c>
      <c r="K113" s="8">
        <v>89.168</v>
      </c>
    </row>
    <row r="114" ht="30" customHeight="1" spans="1:11">
      <c r="A114" s="3">
        <v>3395</v>
      </c>
      <c r="B114" s="3" t="str">
        <f>"周莹"</f>
        <v>周莹</v>
      </c>
      <c r="C114" s="3" t="str">
        <f t="shared" si="11"/>
        <v>女</v>
      </c>
      <c r="D114" s="3" t="str">
        <f t="shared" si="9"/>
        <v>汉族</v>
      </c>
      <c r="E114" s="3" t="str">
        <f>"202130033702"</f>
        <v>202130033702</v>
      </c>
      <c r="F114" s="3" t="s">
        <v>61</v>
      </c>
      <c r="G114" s="3" t="s">
        <v>16</v>
      </c>
      <c r="H114" s="3" t="str">
        <f t="shared" si="10"/>
        <v>30</v>
      </c>
      <c r="I114" s="7">
        <v>90.75</v>
      </c>
      <c r="J114" s="7">
        <v>84.42</v>
      </c>
      <c r="K114" s="8">
        <v>88.218</v>
      </c>
    </row>
    <row r="115" ht="30" customHeight="1" spans="1:11">
      <c r="A115" s="3">
        <v>3465</v>
      </c>
      <c r="B115" s="3" t="str">
        <f>"周萍"</f>
        <v>周萍</v>
      </c>
      <c r="C115" s="3" t="str">
        <f t="shared" si="11"/>
        <v>女</v>
      </c>
      <c r="D115" s="3" t="str">
        <f t="shared" si="9"/>
        <v>汉族</v>
      </c>
      <c r="E115" s="3" t="str">
        <f>"202130033826"</f>
        <v>202130033826</v>
      </c>
      <c r="F115" s="3" t="s">
        <v>61</v>
      </c>
      <c r="G115" s="3" t="s">
        <v>16</v>
      </c>
      <c r="H115" s="3" t="str">
        <f t="shared" si="10"/>
        <v>30</v>
      </c>
      <c r="I115" s="7">
        <v>87.6</v>
      </c>
      <c r="J115" s="7">
        <v>88.3</v>
      </c>
      <c r="K115" s="8">
        <v>87.88</v>
      </c>
    </row>
    <row r="116" ht="30" customHeight="1" spans="1:11">
      <c r="A116" s="3">
        <v>3350</v>
      </c>
      <c r="B116" s="3" t="str">
        <f>"唐源"</f>
        <v>唐源</v>
      </c>
      <c r="C116" s="3" t="str">
        <f t="shared" si="11"/>
        <v>女</v>
      </c>
      <c r="D116" s="3" t="str">
        <f t="shared" si="9"/>
        <v>汉族</v>
      </c>
      <c r="E116" s="3" t="str">
        <f>"202130033513"</f>
        <v>202130033513</v>
      </c>
      <c r="F116" s="3" t="s">
        <v>61</v>
      </c>
      <c r="G116" s="3" t="s">
        <v>16</v>
      </c>
      <c r="H116" s="3" t="str">
        <f t="shared" si="10"/>
        <v>30</v>
      </c>
      <c r="I116" s="7">
        <v>89</v>
      </c>
      <c r="J116" s="7">
        <v>85.58</v>
      </c>
      <c r="K116" s="8">
        <v>87.632</v>
      </c>
    </row>
    <row r="117" ht="30" customHeight="1" spans="1:11">
      <c r="A117" s="3">
        <v>3495</v>
      </c>
      <c r="B117" s="3" t="str">
        <f>"伍柯颖"</f>
        <v>伍柯颖</v>
      </c>
      <c r="C117" s="3" t="str">
        <f t="shared" si="11"/>
        <v>女</v>
      </c>
      <c r="D117" s="3" t="str">
        <f t="shared" si="9"/>
        <v>汉族</v>
      </c>
      <c r="E117" s="3" t="str">
        <f>"202130034024"</f>
        <v>202130034024</v>
      </c>
      <c r="F117" s="3" t="s">
        <v>61</v>
      </c>
      <c r="G117" s="3" t="s">
        <v>16</v>
      </c>
      <c r="H117" s="3" t="str">
        <f t="shared" si="10"/>
        <v>30</v>
      </c>
      <c r="I117" s="7">
        <v>88.35</v>
      </c>
      <c r="J117" s="7">
        <v>85.6</v>
      </c>
      <c r="K117" s="8">
        <v>87.25</v>
      </c>
    </row>
    <row r="118" ht="30" customHeight="1" spans="1:11">
      <c r="A118" s="3">
        <v>3445</v>
      </c>
      <c r="B118" s="3" t="str">
        <f>"邓满姣"</f>
        <v>邓满姣</v>
      </c>
      <c r="C118" s="3" t="str">
        <f t="shared" si="11"/>
        <v>女</v>
      </c>
      <c r="D118" s="3" t="str">
        <f t="shared" si="9"/>
        <v>汉族</v>
      </c>
      <c r="E118" s="3" t="str">
        <f>"202130033703"</f>
        <v>202130033703</v>
      </c>
      <c r="F118" s="3" t="s">
        <v>61</v>
      </c>
      <c r="G118" s="3" t="s">
        <v>16</v>
      </c>
      <c r="H118" s="3" t="str">
        <f t="shared" si="10"/>
        <v>30</v>
      </c>
      <c r="I118" s="7">
        <v>89.3</v>
      </c>
      <c r="J118" s="7">
        <v>83.78</v>
      </c>
      <c r="K118" s="8">
        <v>87.092</v>
      </c>
    </row>
    <row r="119" ht="30" customHeight="1" spans="1:11">
      <c r="A119" s="3">
        <v>3424</v>
      </c>
      <c r="B119" s="3" t="str">
        <f>"孙佩玲"</f>
        <v>孙佩玲</v>
      </c>
      <c r="C119" s="3" t="str">
        <f t="shared" si="11"/>
        <v>女</v>
      </c>
      <c r="D119" s="3" t="str">
        <f t="shared" si="9"/>
        <v>汉族</v>
      </c>
      <c r="E119" s="3" t="str">
        <f>"202130033907"</f>
        <v>202130033907</v>
      </c>
      <c r="F119" s="3" t="s">
        <v>61</v>
      </c>
      <c r="G119" s="3" t="s">
        <v>16</v>
      </c>
      <c r="H119" s="3" t="str">
        <f t="shared" si="10"/>
        <v>30</v>
      </c>
      <c r="I119" s="7">
        <v>89.25</v>
      </c>
      <c r="J119" s="7">
        <v>83.74</v>
      </c>
      <c r="K119" s="8">
        <v>87.046</v>
      </c>
    </row>
    <row r="120" ht="30" customHeight="1" spans="1:11">
      <c r="A120" s="3">
        <v>3507</v>
      </c>
      <c r="B120" s="3" t="str">
        <f>"陈之璐"</f>
        <v>陈之璐</v>
      </c>
      <c r="C120" s="3" t="str">
        <f t="shared" si="11"/>
        <v>女</v>
      </c>
      <c r="D120" s="3" t="str">
        <f t="shared" si="9"/>
        <v>汉族</v>
      </c>
      <c r="E120" s="3" t="str">
        <f>"202130033716"</f>
        <v>202130033716</v>
      </c>
      <c r="F120" s="3" t="s">
        <v>61</v>
      </c>
      <c r="G120" s="3" t="s">
        <v>16</v>
      </c>
      <c r="H120" s="3" t="str">
        <f t="shared" si="10"/>
        <v>30</v>
      </c>
      <c r="I120" s="7">
        <v>88.3</v>
      </c>
      <c r="J120" s="7">
        <v>84.5</v>
      </c>
      <c r="K120" s="8">
        <v>86.78</v>
      </c>
    </row>
    <row r="121" ht="30" customHeight="1" spans="1:11">
      <c r="A121" s="3">
        <v>3370</v>
      </c>
      <c r="B121" s="3" t="str">
        <f>"谢瑭"</f>
        <v>谢瑭</v>
      </c>
      <c r="C121" s="3" t="str">
        <f t="shared" si="11"/>
        <v>女</v>
      </c>
      <c r="D121" s="3" t="str">
        <f t="shared" si="9"/>
        <v>汉族</v>
      </c>
      <c r="E121" s="3" t="str">
        <f>"202130034127"</f>
        <v>202130034127</v>
      </c>
      <c r="F121" s="3" t="s">
        <v>61</v>
      </c>
      <c r="G121" s="3" t="s">
        <v>16</v>
      </c>
      <c r="H121" s="3" t="str">
        <f t="shared" si="10"/>
        <v>30</v>
      </c>
      <c r="I121" s="7">
        <v>87.35</v>
      </c>
      <c r="J121" s="7">
        <v>85.42</v>
      </c>
      <c r="K121" s="8">
        <v>86.578</v>
      </c>
    </row>
    <row r="122" ht="30" customHeight="1" spans="1:11">
      <c r="A122" s="3">
        <v>3457</v>
      </c>
      <c r="B122" s="3" t="str">
        <f>"陶紫薇"</f>
        <v>陶紫薇</v>
      </c>
      <c r="C122" s="3" t="str">
        <f t="shared" si="11"/>
        <v>女</v>
      </c>
      <c r="D122" s="3" t="str">
        <f t="shared" si="9"/>
        <v>汉族</v>
      </c>
      <c r="E122" s="3" t="str">
        <f>"202130033807"</f>
        <v>202130033807</v>
      </c>
      <c r="F122" s="3" t="s">
        <v>61</v>
      </c>
      <c r="G122" s="3" t="s">
        <v>16</v>
      </c>
      <c r="H122" s="3" t="str">
        <f t="shared" si="10"/>
        <v>30</v>
      </c>
      <c r="I122" s="7">
        <v>87.1</v>
      </c>
      <c r="J122" s="7">
        <v>85.66</v>
      </c>
      <c r="K122" s="8">
        <v>86.524</v>
      </c>
    </row>
    <row r="123" ht="30" customHeight="1" spans="1:11">
      <c r="A123" s="3">
        <v>3412</v>
      </c>
      <c r="B123" s="3" t="str">
        <f>"曾婷"</f>
        <v>曾婷</v>
      </c>
      <c r="C123" s="3" t="str">
        <f t="shared" si="11"/>
        <v>女</v>
      </c>
      <c r="D123" s="3" t="str">
        <f t="shared" si="9"/>
        <v>汉族</v>
      </c>
      <c r="E123" s="3" t="str">
        <f>"202130034002"</f>
        <v>202130034002</v>
      </c>
      <c r="F123" s="3" t="s">
        <v>61</v>
      </c>
      <c r="G123" s="3" t="s">
        <v>16</v>
      </c>
      <c r="H123" s="3" t="str">
        <f t="shared" si="10"/>
        <v>30</v>
      </c>
      <c r="I123" s="7">
        <v>88.8</v>
      </c>
      <c r="J123" s="7">
        <v>82.26</v>
      </c>
      <c r="K123" s="8">
        <v>86.184</v>
      </c>
    </row>
    <row r="124" ht="30" customHeight="1" spans="1:11">
      <c r="A124" s="3">
        <v>3438</v>
      </c>
      <c r="B124" s="3" t="str">
        <f>"颜蕾"</f>
        <v>颜蕾</v>
      </c>
      <c r="C124" s="3" t="str">
        <f t="shared" si="11"/>
        <v>女</v>
      </c>
      <c r="D124" s="3" t="str">
        <f t="shared" si="9"/>
        <v>汉族</v>
      </c>
      <c r="E124" s="3" t="str">
        <f>"202130033810"</f>
        <v>202130033810</v>
      </c>
      <c r="F124" s="3" t="s">
        <v>61</v>
      </c>
      <c r="G124" s="3" t="s">
        <v>16</v>
      </c>
      <c r="H124" s="3" t="str">
        <f t="shared" si="10"/>
        <v>30</v>
      </c>
      <c r="I124" s="7">
        <v>87.8</v>
      </c>
      <c r="J124" s="7">
        <v>82.94</v>
      </c>
      <c r="K124" s="8">
        <v>85.856</v>
      </c>
    </row>
    <row r="125" ht="30" customHeight="1" spans="1:11">
      <c r="A125" s="3">
        <v>3478</v>
      </c>
      <c r="B125" s="3" t="str">
        <f>"马传荣"</f>
        <v>马传荣</v>
      </c>
      <c r="C125" s="3" t="str">
        <f t="shared" si="11"/>
        <v>女</v>
      </c>
      <c r="D125" s="3" t="str">
        <f t="shared" si="9"/>
        <v>汉族</v>
      </c>
      <c r="E125" s="3" t="str">
        <f>"202130033530"</f>
        <v>202130033530</v>
      </c>
      <c r="F125" s="3" t="s">
        <v>61</v>
      </c>
      <c r="G125" s="3" t="s">
        <v>16</v>
      </c>
      <c r="H125" s="3" t="str">
        <f t="shared" si="10"/>
        <v>30</v>
      </c>
      <c r="I125" s="7">
        <v>88.15</v>
      </c>
      <c r="J125" s="7">
        <v>82.36</v>
      </c>
      <c r="K125" s="8">
        <v>85.834</v>
      </c>
    </row>
    <row r="126" ht="30" customHeight="1" spans="1:11">
      <c r="A126" s="3">
        <v>3402</v>
      </c>
      <c r="B126" s="3" t="str">
        <f>"唐鹏"</f>
        <v>唐鹏</v>
      </c>
      <c r="C126" s="3" t="str">
        <f>"男"</f>
        <v>男</v>
      </c>
      <c r="D126" s="3" t="str">
        <f t="shared" si="9"/>
        <v>汉族</v>
      </c>
      <c r="E126" s="3" t="str">
        <f>"202130033612"</f>
        <v>202130033612</v>
      </c>
      <c r="F126" s="3" t="s">
        <v>61</v>
      </c>
      <c r="G126" s="3" t="s">
        <v>16</v>
      </c>
      <c r="H126" s="3" t="str">
        <f t="shared" si="10"/>
        <v>30</v>
      </c>
      <c r="I126" s="7">
        <v>89.25</v>
      </c>
      <c r="J126" s="7">
        <v>80.66</v>
      </c>
      <c r="K126" s="8">
        <v>85.814</v>
      </c>
    </row>
    <row r="127" ht="30" customHeight="1" spans="1:11">
      <c r="A127" s="3">
        <v>3425</v>
      </c>
      <c r="B127" s="3" t="str">
        <f>"易彩霞"</f>
        <v>易彩霞</v>
      </c>
      <c r="C127" s="3" t="str">
        <f>"女"</f>
        <v>女</v>
      </c>
      <c r="D127" s="3" t="str">
        <f t="shared" si="9"/>
        <v>汉族</v>
      </c>
      <c r="E127" s="3" t="str">
        <f>"202130034411"</f>
        <v>202130034411</v>
      </c>
      <c r="F127" s="3" t="s">
        <v>61</v>
      </c>
      <c r="G127" s="3" t="s">
        <v>16</v>
      </c>
      <c r="H127" s="3" t="str">
        <f t="shared" si="10"/>
        <v>30</v>
      </c>
      <c r="I127" s="7">
        <v>91.8</v>
      </c>
      <c r="J127" s="11" t="s">
        <v>52</v>
      </c>
      <c r="K127" s="8">
        <v>55.08</v>
      </c>
    </row>
    <row r="128" ht="30" customHeight="1" spans="1:11">
      <c r="A128" s="3">
        <v>3406</v>
      </c>
      <c r="B128" s="3" t="str">
        <f>"汪浩"</f>
        <v>汪浩</v>
      </c>
      <c r="C128" s="3" t="str">
        <f>"男"</f>
        <v>男</v>
      </c>
      <c r="D128" s="3" t="str">
        <f>"土家族"</f>
        <v>土家族</v>
      </c>
      <c r="E128" s="3" t="str">
        <f>"202130033908"</f>
        <v>202130033908</v>
      </c>
      <c r="F128" s="3" t="s">
        <v>61</v>
      </c>
      <c r="G128" s="3" t="s">
        <v>16</v>
      </c>
      <c r="H128" s="3" t="str">
        <f t="shared" si="10"/>
        <v>30</v>
      </c>
      <c r="I128" s="7">
        <v>87</v>
      </c>
      <c r="J128" s="11" t="s">
        <v>52</v>
      </c>
      <c r="K128" s="8">
        <v>52.2</v>
      </c>
    </row>
    <row r="129" ht="30" customHeight="1" spans="1:11">
      <c r="A129" s="3">
        <v>3639</v>
      </c>
      <c r="B129" s="3" t="str">
        <f>"赵文艳"</f>
        <v>赵文艳</v>
      </c>
      <c r="C129" s="3" t="str">
        <f t="shared" ref="C129:C138" si="12">"女"</f>
        <v>女</v>
      </c>
      <c r="D129" s="3" t="str">
        <f t="shared" ref="D129:D137" si="13">"汉族"</f>
        <v>汉族</v>
      </c>
      <c r="E129" s="3" t="str">
        <f>"202131021614"</f>
        <v>202131021614</v>
      </c>
      <c r="F129" s="3" t="s">
        <v>61</v>
      </c>
      <c r="G129" s="3" t="s">
        <v>123</v>
      </c>
      <c r="H129" s="3" t="str">
        <f>"31"</f>
        <v>31</v>
      </c>
      <c r="I129" s="7">
        <v>91.6</v>
      </c>
      <c r="J129" s="7">
        <v>90.9</v>
      </c>
      <c r="K129" s="8">
        <v>91.32</v>
      </c>
    </row>
    <row r="130" ht="30" customHeight="1" spans="1:11">
      <c r="A130" s="3">
        <v>3607</v>
      </c>
      <c r="B130" s="3" t="str">
        <f>"伍慧玲"</f>
        <v>伍慧玲</v>
      </c>
      <c r="C130" s="3" t="str">
        <f t="shared" si="12"/>
        <v>女</v>
      </c>
      <c r="D130" s="3" t="str">
        <f t="shared" si="13"/>
        <v>汉族</v>
      </c>
      <c r="E130" s="3" t="str">
        <f>"202131021804"</f>
        <v>202131021804</v>
      </c>
      <c r="F130" s="3" t="s">
        <v>61</v>
      </c>
      <c r="G130" s="3" t="s">
        <v>123</v>
      </c>
      <c r="H130" s="3" t="str">
        <f>"31"</f>
        <v>31</v>
      </c>
      <c r="I130" s="7">
        <v>90.8</v>
      </c>
      <c r="J130" s="7">
        <v>90</v>
      </c>
      <c r="K130" s="8">
        <v>90.48</v>
      </c>
    </row>
    <row r="131" ht="30" customHeight="1" spans="1:11">
      <c r="A131" s="3">
        <v>3585</v>
      </c>
      <c r="B131" s="3" t="str">
        <f>"张兰叶"</f>
        <v>张兰叶</v>
      </c>
      <c r="C131" s="3" t="str">
        <f t="shared" si="12"/>
        <v>女</v>
      </c>
      <c r="D131" s="3" t="str">
        <f t="shared" si="13"/>
        <v>汉族</v>
      </c>
      <c r="E131" s="3" t="str">
        <f>"202131022113"</f>
        <v>202131022113</v>
      </c>
      <c r="F131" s="3" t="s">
        <v>61</v>
      </c>
      <c r="G131" s="3" t="s">
        <v>123</v>
      </c>
      <c r="H131" s="3" t="str">
        <f>"31"</f>
        <v>31</v>
      </c>
      <c r="I131" s="7">
        <v>92.8</v>
      </c>
      <c r="J131" s="7">
        <v>84.8</v>
      </c>
      <c r="K131" s="8">
        <v>89.6</v>
      </c>
    </row>
    <row r="132" ht="30" customHeight="1" spans="1:11">
      <c r="A132" s="3">
        <v>3705</v>
      </c>
      <c r="B132" s="3" t="str">
        <f>"宋林丽"</f>
        <v>宋林丽</v>
      </c>
      <c r="C132" s="3" t="str">
        <f t="shared" si="12"/>
        <v>女</v>
      </c>
      <c r="D132" s="3" t="str">
        <f t="shared" si="13"/>
        <v>汉族</v>
      </c>
      <c r="E132" s="3" t="str">
        <f>"202131022002"</f>
        <v>202131022002</v>
      </c>
      <c r="F132" s="3" t="s">
        <v>61</v>
      </c>
      <c r="G132" s="3" t="s">
        <v>123</v>
      </c>
      <c r="H132" s="3" t="str">
        <f>"31"</f>
        <v>31</v>
      </c>
      <c r="I132" s="7">
        <v>91.15</v>
      </c>
      <c r="J132" s="11" t="s">
        <v>52</v>
      </c>
      <c r="K132" s="8">
        <v>54.69</v>
      </c>
    </row>
    <row r="133" ht="30" customHeight="1" spans="1:11">
      <c r="A133" s="3">
        <v>3742</v>
      </c>
      <c r="B133" s="3" t="str">
        <f>"罗娜"</f>
        <v>罗娜</v>
      </c>
      <c r="C133" s="3" t="str">
        <f t="shared" si="12"/>
        <v>女</v>
      </c>
      <c r="D133" s="3" t="str">
        <f t="shared" si="13"/>
        <v>汉族</v>
      </c>
      <c r="E133" s="3" t="str">
        <f>"202132022323"</f>
        <v>202132022323</v>
      </c>
      <c r="F133" s="3" t="s">
        <v>61</v>
      </c>
      <c r="G133" s="3" t="s">
        <v>124</v>
      </c>
      <c r="H133" s="3" t="str">
        <f>"32"</f>
        <v>32</v>
      </c>
      <c r="I133" s="7">
        <v>86.15</v>
      </c>
      <c r="J133" s="7">
        <v>86.7</v>
      </c>
      <c r="K133" s="8">
        <v>86.37</v>
      </c>
    </row>
    <row r="134" ht="30" customHeight="1" spans="1:11">
      <c r="A134" s="3">
        <v>3736</v>
      </c>
      <c r="B134" s="3" t="str">
        <f>"李琴"</f>
        <v>李琴</v>
      </c>
      <c r="C134" s="3" t="str">
        <f t="shared" si="12"/>
        <v>女</v>
      </c>
      <c r="D134" s="3" t="str">
        <f t="shared" si="13"/>
        <v>汉族</v>
      </c>
      <c r="E134" s="3" t="str">
        <f>"202132022305"</f>
        <v>202132022305</v>
      </c>
      <c r="F134" s="3" t="s">
        <v>61</v>
      </c>
      <c r="G134" s="3" t="s">
        <v>124</v>
      </c>
      <c r="H134" s="3" t="str">
        <f>"32"</f>
        <v>32</v>
      </c>
      <c r="I134" s="7">
        <v>86.8</v>
      </c>
      <c r="J134" s="7">
        <v>84</v>
      </c>
      <c r="K134" s="8">
        <v>85.68</v>
      </c>
    </row>
    <row r="135" ht="30" customHeight="1" spans="1:11">
      <c r="A135" s="3">
        <v>3726</v>
      </c>
      <c r="B135" s="3" t="str">
        <f>"刘丹"</f>
        <v>刘丹</v>
      </c>
      <c r="C135" s="3" t="str">
        <f t="shared" si="12"/>
        <v>女</v>
      </c>
      <c r="D135" s="3" t="str">
        <f t="shared" si="13"/>
        <v>汉族</v>
      </c>
      <c r="E135" s="3" t="str">
        <f>"202132022302"</f>
        <v>202132022302</v>
      </c>
      <c r="F135" s="3" t="s">
        <v>61</v>
      </c>
      <c r="G135" s="3" t="s">
        <v>124</v>
      </c>
      <c r="H135" s="3" t="str">
        <f>"32"</f>
        <v>32</v>
      </c>
      <c r="I135" s="7">
        <v>88.25</v>
      </c>
      <c r="J135" s="7">
        <v>80.5</v>
      </c>
      <c r="K135" s="8">
        <v>85.15</v>
      </c>
    </row>
    <row r="136" ht="30" customHeight="1" spans="1:11">
      <c r="A136" s="3">
        <v>3757</v>
      </c>
      <c r="B136" s="3" t="str">
        <f>"黄梦兰"</f>
        <v>黄梦兰</v>
      </c>
      <c r="C136" s="3" t="str">
        <f t="shared" si="12"/>
        <v>女</v>
      </c>
      <c r="D136" s="3" t="str">
        <f t="shared" si="13"/>
        <v>汉族</v>
      </c>
      <c r="E136" s="3" t="str">
        <f>"202132022226"</f>
        <v>202132022226</v>
      </c>
      <c r="F136" s="3" t="s">
        <v>61</v>
      </c>
      <c r="G136" s="3" t="s">
        <v>124</v>
      </c>
      <c r="H136" s="3" t="str">
        <f>"32"</f>
        <v>32</v>
      </c>
      <c r="I136" s="7">
        <v>86</v>
      </c>
      <c r="J136" s="11" t="s">
        <v>52</v>
      </c>
      <c r="K136" s="8">
        <v>51.6</v>
      </c>
    </row>
    <row r="137" ht="30" customHeight="1" spans="1:11">
      <c r="A137" s="3">
        <v>3776</v>
      </c>
      <c r="B137" s="3" t="str">
        <f>"潘懿星"</f>
        <v>潘懿星</v>
      </c>
      <c r="C137" s="3" t="str">
        <f t="shared" si="12"/>
        <v>女</v>
      </c>
      <c r="D137" s="3" t="str">
        <f t="shared" si="13"/>
        <v>汉族</v>
      </c>
      <c r="E137" s="3" t="str">
        <f>"202133041002"</f>
        <v>202133041002</v>
      </c>
      <c r="F137" s="3" t="s">
        <v>61</v>
      </c>
      <c r="G137" s="3" t="s">
        <v>51</v>
      </c>
      <c r="H137" s="3" t="str">
        <f>"33"</f>
        <v>33</v>
      </c>
      <c r="I137" s="7">
        <v>73.15</v>
      </c>
      <c r="J137" s="7">
        <v>90.6</v>
      </c>
      <c r="K137" s="8">
        <v>80.13</v>
      </c>
    </row>
    <row r="138" ht="30" customHeight="1" spans="1:11">
      <c r="A138" s="3">
        <v>3781</v>
      </c>
      <c r="B138" s="3" t="str">
        <f>"杨凌雁"</f>
        <v>杨凌雁</v>
      </c>
      <c r="C138" s="3" t="str">
        <f t="shared" si="12"/>
        <v>女</v>
      </c>
      <c r="D138" s="3" t="str">
        <f>"苗族"</f>
        <v>苗族</v>
      </c>
      <c r="E138" s="3" t="str">
        <f>"202133041015"</f>
        <v>202133041015</v>
      </c>
      <c r="F138" s="3" t="s">
        <v>61</v>
      </c>
      <c r="G138" s="3" t="s">
        <v>51</v>
      </c>
      <c r="H138" s="3" t="str">
        <f>"33"</f>
        <v>33</v>
      </c>
      <c r="I138" s="7">
        <v>71.55</v>
      </c>
      <c r="J138" s="7">
        <v>91.8</v>
      </c>
      <c r="K138" s="8">
        <v>79.65</v>
      </c>
    </row>
    <row r="139" ht="30" customHeight="1" spans="1:11">
      <c r="A139" s="3">
        <v>3798</v>
      </c>
      <c r="B139" s="3" t="str">
        <f>"陈阳锋"</f>
        <v>陈阳锋</v>
      </c>
      <c r="C139" s="3" t="str">
        <f>"男"</f>
        <v>男</v>
      </c>
      <c r="D139" s="3" t="str">
        <f t="shared" ref="D139:D150" si="14">"汉族"</f>
        <v>汉族</v>
      </c>
      <c r="E139" s="3" t="str">
        <f>"202134040930"</f>
        <v>202134040930</v>
      </c>
      <c r="F139" s="3" t="s">
        <v>61</v>
      </c>
      <c r="G139" s="3" t="s">
        <v>54</v>
      </c>
      <c r="H139" s="3" t="str">
        <f>"34"</f>
        <v>34</v>
      </c>
      <c r="I139" s="7">
        <v>70.15</v>
      </c>
      <c r="J139" s="11" t="s">
        <v>52</v>
      </c>
      <c r="K139" s="8">
        <v>42.09</v>
      </c>
    </row>
    <row r="140" ht="30" customHeight="1" spans="1:11">
      <c r="A140" s="3">
        <v>3789</v>
      </c>
      <c r="B140" s="3" t="str">
        <f>"余加贝"</f>
        <v>余加贝</v>
      </c>
      <c r="C140" s="3" t="str">
        <f>"男"</f>
        <v>男</v>
      </c>
      <c r="D140" s="3" t="str">
        <f t="shared" si="14"/>
        <v>汉族</v>
      </c>
      <c r="E140" s="3" t="str">
        <f>"202134040922"</f>
        <v>202134040922</v>
      </c>
      <c r="F140" s="3" t="s">
        <v>61</v>
      </c>
      <c r="G140" s="3" t="s">
        <v>54</v>
      </c>
      <c r="H140" s="3" t="str">
        <f>"34"</f>
        <v>34</v>
      </c>
      <c r="I140" s="7">
        <v>67.15</v>
      </c>
      <c r="J140" s="11" t="s">
        <v>52</v>
      </c>
      <c r="K140" s="8">
        <v>40.29</v>
      </c>
    </row>
    <row r="141" ht="30" customHeight="1" spans="1:11">
      <c r="A141" s="3">
        <v>3806</v>
      </c>
      <c r="B141" s="3" t="str">
        <f>"刘新建"</f>
        <v>刘新建</v>
      </c>
      <c r="C141" s="3" t="str">
        <f>"男"</f>
        <v>男</v>
      </c>
      <c r="D141" s="3" t="str">
        <f t="shared" si="14"/>
        <v>汉族</v>
      </c>
      <c r="E141" s="3" t="str">
        <f>"202135041024"</f>
        <v>202135041024</v>
      </c>
      <c r="F141" s="3" t="s">
        <v>61</v>
      </c>
      <c r="G141" s="3" t="s">
        <v>55</v>
      </c>
      <c r="H141" s="3" t="str">
        <f>"35"</f>
        <v>35</v>
      </c>
      <c r="I141" s="7">
        <v>62.4</v>
      </c>
      <c r="J141" s="7">
        <v>88.1</v>
      </c>
      <c r="K141" s="8">
        <v>72.68</v>
      </c>
    </row>
    <row r="142" ht="30" customHeight="1" spans="1:11">
      <c r="A142" s="3">
        <v>3805</v>
      </c>
      <c r="B142" s="3" t="str">
        <f>"蔡翔"</f>
        <v>蔡翔</v>
      </c>
      <c r="C142" s="3" t="str">
        <f>"男"</f>
        <v>男</v>
      </c>
      <c r="D142" s="3" t="str">
        <f t="shared" si="14"/>
        <v>汉族</v>
      </c>
      <c r="E142" s="3" t="str">
        <f>"202135041025"</f>
        <v>202135041025</v>
      </c>
      <c r="F142" s="3" t="s">
        <v>61</v>
      </c>
      <c r="G142" s="3" t="s">
        <v>55</v>
      </c>
      <c r="H142" s="3" t="str">
        <f>"35"</f>
        <v>35</v>
      </c>
      <c r="I142" s="7">
        <v>57.5</v>
      </c>
      <c r="J142" s="7">
        <v>85.6</v>
      </c>
      <c r="K142" s="8">
        <v>68.74</v>
      </c>
    </row>
    <row r="143" ht="30" customHeight="1" spans="1:11">
      <c r="A143" s="3">
        <v>3854</v>
      </c>
      <c r="B143" s="3" t="str">
        <f>"罗虹"</f>
        <v>罗虹</v>
      </c>
      <c r="C143" s="3" t="str">
        <f t="shared" ref="C143:C178" si="15">"女"</f>
        <v>女</v>
      </c>
      <c r="D143" s="3" t="str">
        <f t="shared" si="14"/>
        <v>汉族</v>
      </c>
      <c r="E143" s="3" t="str">
        <f>"202136041623"</f>
        <v>202136041623</v>
      </c>
      <c r="F143" s="3" t="s">
        <v>61</v>
      </c>
      <c r="G143" s="3" t="s">
        <v>56</v>
      </c>
      <c r="H143" s="3" t="str">
        <f>"36"</f>
        <v>36</v>
      </c>
      <c r="I143" s="7">
        <v>80.3</v>
      </c>
      <c r="J143" s="7">
        <v>87.5</v>
      </c>
      <c r="K143" s="8">
        <v>83.18</v>
      </c>
    </row>
    <row r="144" ht="30" customHeight="1" spans="1:11">
      <c r="A144" s="3">
        <v>3850</v>
      </c>
      <c r="B144" s="3" t="str">
        <f>"郑潇姝"</f>
        <v>郑潇姝</v>
      </c>
      <c r="C144" s="3" t="str">
        <f t="shared" si="15"/>
        <v>女</v>
      </c>
      <c r="D144" s="3" t="str">
        <f t="shared" si="14"/>
        <v>汉族</v>
      </c>
      <c r="E144" s="3" t="str">
        <f>"202136041720"</f>
        <v>202136041720</v>
      </c>
      <c r="F144" s="3" t="s">
        <v>61</v>
      </c>
      <c r="G144" s="3" t="s">
        <v>56</v>
      </c>
      <c r="H144" s="3" t="str">
        <f>"36"</f>
        <v>36</v>
      </c>
      <c r="I144" s="7">
        <v>80.5</v>
      </c>
      <c r="J144" s="7">
        <v>80</v>
      </c>
      <c r="K144" s="8">
        <v>80.3</v>
      </c>
    </row>
    <row r="145" ht="30" customHeight="1" spans="1:11">
      <c r="A145" s="3">
        <v>3872</v>
      </c>
      <c r="B145" s="3" t="str">
        <f>"郑梅芳"</f>
        <v>郑梅芳</v>
      </c>
      <c r="C145" s="3" t="str">
        <f t="shared" si="15"/>
        <v>女</v>
      </c>
      <c r="D145" s="3" t="str">
        <f t="shared" si="14"/>
        <v>汉族</v>
      </c>
      <c r="E145" s="3" t="str">
        <f>"202137041809"</f>
        <v>202137041809</v>
      </c>
      <c r="F145" s="3" t="s">
        <v>61</v>
      </c>
      <c r="G145" s="3" t="s">
        <v>57</v>
      </c>
      <c r="H145" s="3" t="str">
        <f>"37"</f>
        <v>37</v>
      </c>
      <c r="I145" s="7">
        <v>79.55</v>
      </c>
      <c r="J145" s="7">
        <v>88.8</v>
      </c>
      <c r="K145" s="8">
        <v>83.25</v>
      </c>
    </row>
    <row r="146" ht="30" customHeight="1" spans="1:11">
      <c r="A146" s="3">
        <v>3875</v>
      </c>
      <c r="B146" s="3" t="str">
        <f>"左涵"</f>
        <v>左涵</v>
      </c>
      <c r="C146" s="3" t="str">
        <f t="shared" si="15"/>
        <v>女</v>
      </c>
      <c r="D146" s="3" t="str">
        <f t="shared" si="14"/>
        <v>汉族</v>
      </c>
      <c r="E146" s="3" t="str">
        <f>"202137041811"</f>
        <v>202137041811</v>
      </c>
      <c r="F146" s="3" t="s">
        <v>61</v>
      </c>
      <c r="G146" s="3" t="s">
        <v>57</v>
      </c>
      <c r="H146" s="3" t="str">
        <f>"37"</f>
        <v>37</v>
      </c>
      <c r="I146" s="7">
        <v>79.35</v>
      </c>
      <c r="J146" s="7">
        <v>83</v>
      </c>
      <c r="K146" s="8">
        <v>80.81</v>
      </c>
    </row>
    <row r="147" ht="30" customHeight="1" spans="1:11">
      <c r="A147" s="3">
        <v>3886</v>
      </c>
      <c r="B147" s="3" t="str">
        <f>"岳鑫"</f>
        <v>岳鑫</v>
      </c>
      <c r="C147" s="3" t="str">
        <f t="shared" si="15"/>
        <v>女</v>
      </c>
      <c r="D147" s="3" t="str">
        <f t="shared" si="14"/>
        <v>汉族</v>
      </c>
      <c r="E147" s="3" t="str">
        <f>"202138023021"</f>
        <v>202138023021</v>
      </c>
      <c r="F147" s="3" t="s">
        <v>61</v>
      </c>
      <c r="G147" s="3" t="s">
        <v>17</v>
      </c>
      <c r="H147" s="3" t="str">
        <f>"38"</f>
        <v>38</v>
      </c>
      <c r="I147" s="7">
        <v>72.25</v>
      </c>
      <c r="J147" s="7">
        <v>85.52</v>
      </c>
      <c r="K147" s="8">
        <v>77.558</v>
      </c>
    </row>
    <row r="148" ht="30" customHeight="1" spans="1:11">
      <c r="A148" s="3">
        <v>3881</v>
      </c>
      <c r="B148" s="3" t="str">
        <f>"邓欧丽"</f>
        <v>邓欧丽</v>
      </c>
      <c r="C148" s="3" t="str">
        <f t="shared" si="15"/>
        <v>女</v>
      </c>
      <c r="D148" s="3" t="str">
        <f t="shared" si="14"/>
        <v>汉族</v>
      </c>
      <c r="E148" s="3" t="str">
        <f>"202138023022"</f>
        <v>202138023022</v>
      </c>
      <c r="F148" s="3" t="s">
        <v>61</v>
      </c>
      <c r="G148" s="3" t="s">
        <v>17</v>
      </c>
      <c r="H148" s="3" t="str">
        <f>"38"</f>
        <v>38</v>
      </c>
      <c r="I148" s="7">
        <v>73.55</v>
      </c>
      <c r="J148" s="11" t="s">
        <v>52</v>
      </c>
      <c r="K148" s="8">
        <v>44.13</v>
      </c>
    </row>
    <row r="149" ht="30" customHeight="1" spans="1:11">
      <c r="A149" s="3">
        <v>3894</v>
      </c>
      <c r="B149" s="3" t="str">
        <f>"付诗"</f>
        <v>付诗</v>
      </c>
      <c r="C149" s="3" t="str">
        <f t="shared" si="15"/>
        <v>女</v>
      </c>
      <c r="D149" s="3" t="str">
        <f t="shared" si="14"/>
        <v>汉族</v>
      </c>
      <c r="E149" s="3" t="str">
        <f>"202139023204"</f>
        <v>202139023204</v>
      </c>
      <c r="F149" s="3" t="s">
        <v>61</v>
      </c>
      <c r="G149" s="3" t="s">
        <v>58</v>
      </c>
      <c r="H149" s="3" t="str">
        <f>"39"</f>
        <v>39</v>
      </c>
      <c r="I149" s="7">
        <v>72.8</v>
      </c>
      <c r="J149" s="7">
        <v>88.88</v>
      </c>
      <c r="K149" s="8">
        <v>79.232</v>
      </c>
    </row>
    <row r="150" ht="30" customHeight="1" spans="1:11">
      <c r="A150" s="3">
        <v>3895</v>
      </c>
      <c r="B150" s="3" t="str">
        <f>"肖艳芳"</f>
        <v>肖艳芳</v>
      </c>
      <c r="C150" s="3" t="str">
        <f t="shared" si="15"/>
        <v>女</v>
      </c>
      <c r="D150" s="3" t="str">
        <f t="shared" si="14"/>
        <v>汉族</v>
      </c>
      <c r="E150" s="3" t="str">
        <f>"202139023202"</f>
        <v>202139023202</v>
      </c>
      <c r="F150" s="3" t="s">
        <v>61</v>
      </c>
      <c r="G150" s="3" t="s">
        <v>58</v>
      </c>
      <c r="H150" s="3" t="str">
        <f>"39"</f>
        <v>39</v>
      </c>
      <c r="I150" s="7">
        <v>70</v>
      </c>
      <c r="J150" s="7">
        <v>87.9</v>
      </c>
      <c r="K150" s="8">
        <v>77.16</v>
      </c>
    </row>
    <row r="151" ht="30" customHeight="1" spans="1:11">
      <c r="A151" s="3">
        <v>3898</v>
      </c>
      <c r="B151" s="3" t="str">
        <f>"黄玲"</f>
        <v>黄玲</v>
      </c>
      <c r="C151" s="3" t="str">
        <f t="shared" si="15"/>
        <v>女</v>
      </c>
      <c r="D151" s="3" t="str">
        <f>"苗族"</f>
        <v>苗族</v>
      </c>
      <c r="E151" s="3" t="str">
        <f>"202139023201"</f>
        <v>202139023201</v>
      </c>
      <c r="F151" s="3" t="s">
        <v>61</v>
      </c>
      <c r="G151" s="3" t="s">
        <v>58</v>
      </c>
      <c r="H151" s="3" t="str">
        <f>"39"</f>
        <v>39</v>
      </c>
      <c r="I151" s="7">
        <v>73</v>
      </c>
      <c r="J151" s="7">
        <v>79.84</v>
      </c>
      <c r="K151" s="8">
        <v>75.736</v>
      </c>
    </row>
    <row r="152" ht="30" customHeight="1" spans="1:11">
      <c r="A152" s="3">
        <v>3897</v>
      </c>
      <c r="B152" s="3" t="str">
        <f>"徐萌"</f>
        <v>徐萌</v>
      </c>
      <c r="C152" s="3" t="str">
        <f t="shared" si="15"/>
        <v>女</v>
      </c>
      <c r="D152" s="3" t="str">
        <f t="shared" ref="D152:D162" si="16">"汉族"</f>
        <v>汉族</v>
      </c>
      <c r="E152" s="3" t="str">
        <f>"202139023205"</f>
        <v>202139023205</v>
      </c>
      <c r="F152" s="3" t="s">
        <v>61</v>
      </c>
      <c r="G152" s="3" t="s">
        <v>58</v>
      </c>
      <c r="H152" s="3" t="str">
        <f>"39"</f>
        <v>39</v>
      </c>
      <c r="I152" s="7">
        <v>63.6</v>
      </c>
      <c r="J152" s="7">
        <v>80.04</v>
      </c>
      <c r="K152" s="8">
        <v>70.176</v>
      </c>
    </row>
    <row r="153" ht="30" customHeight="1" spans="1:11">
      <c r="A153" s="3">
        <v>3904</v>
      </c>
      <c r="B153" s="3" t="str">
        <f>"曾丽"</f>
        <v>曾丽</v>
      </c>
      <c r="C153" s="3" t="str">
        <f t="shared" si="15"/>
        <v>女</v>
      </c>
      <c r="D153" s="3" t="str">
        <f t="shared" si="16"/>
        <v>汉族</v>
      </c>
      <c r="E153" s="3" t="str">
        <f>"202104034417"</f>
        <v>202104034417</v>
      </c>
      <c r="F153" s="3" t="s">
        <v>12</v>
      </c>
      <c r="G153" s="3" t="s">
        <v>16</v>
      </c>
      <c r="H153" s="3" t="str">
        <f>"4"</f>
        <v>4</v>
      </c>
      <c r="I153" s="7">
        <v>77.65</v>
      </c>
      <c r="J153" s="7">
        <v>76.6</v>
      </c>
      <c r="K153" s="8">
        <v>77.23</v>
      </c>
    </row>
    <row r="154" ht="30" customHeight="1" spans="1:11">
      <c r="A154" s="3">
        <v>3906</v>
      </c>
      <c r="B154" s="3" t="str">
        <f>"申樊"</f>
        <v>申樊</v>
      </c>
      <c r="C154" s="3" t="str">
        <f t="shared" si="15"/>
        <v>女</v>
      </c>
      <c r="D154" s="3" t="str">
        <f t="shared" si="16"/>
        <v>汉族</v>
      </c>
      <c r="E154" s="3" t="str">
        <f>"202104034416"</f>
        <v>202104034416</v>
      </c>
      <c r="F154" s="3" t="s">
        <v>12</v>
      </c>
      <c r="G154" s="3" t="s">
        <v>16</v>
      </c>
      <c r="H154" s="3" t="str">
        <f>"4"</f>
        <v>4</v>
      </c>
      <c r="I154" s="7">
        <v>69.55</v>
      </c>
      <c r="J154" s="7">
        <v>87.6</v>
      </c>
      <c r="K154" s="8">
        <v>76.77</v>
      </c>
    </row>
    <row r="155" ht="30" customHeight="1" spans="1:11">
      <c r="A155" s="3">
        <v>4070</v>
      </c>
      <c r="B155" s="3" t="str">
        <f>"欧阳庆玮"</f>
        <v>欧阳庆玮</v>
      </c>
      <c r="C155" s="3" t="str">
        <f t="shared" si="15"/>
        <v>女</v>
      </c>
      <c r="D155" s="3" t="str">
        <f t="shared" si="16"/>
        <v>汉族</v>
      </c>
      <c r="E155" s="3" t="str">
        <f>"202140042620"</f>
        <v>202140042620</v>
      </c>
      <c r="F155" s="3" t="s">
        <v>125</v>
      </c>
      <c r="G155" s="3" t="s">
        <v>125</v>
      </c>
      <c r="H155" s="3" t="str">
        <f t="shared" ref="H155:H164" si="17">"40"</f>
        <v>40</v>
      </c>
      <c r="I155" s="7">
        <v>72.55</v>
      </c>
      <c r="J155" s="7">
        <v>88.1</v>
      </c>
      <c r="K155" s="8">
        <v>78.77</v>
      </c>
    </row>
    <row r="156" ht="30" customHeight="1" spans="1:11">
      <c r="A156" s="3">
        <v>4085</v>
      </c>
      <c r="B156" s="3" t="str">
        <f>"唐丽敏"</f>
        <v>唐丽敏</v>
      </c>
      <c r="C156" s="3" t="str">
        <f t="shared" si="15"/>
        <v>女</v>
      </c>
      <c r="D156" s="3" t="str">
        <f t="shared" si="16"/>
        <v>汉族</v>
      </c>
      <c r="E156" s="3" t="str">
        <f>"202140042411"</f>
        <v>202140042411</v>
      </c>
      <c r="F156" s="3" t="s">
        <v>125</v>
      </c>
      <c r="G156" s="3" t="s">
        <v>125</v>
      </c>
      <c r="H156" s="3" t="str">
        <f t="shared" si="17"/>
        <v>40</v>
      </c>
      <c r="I156" s="7">
        <v>71.5</v>
      </c>
      <c r="J156" s="7">
        <v>88.8</v>
      </c>
      <c r="K156" s="8">
        <v>78.42</v>
      </c>
    </row>
    <row r="157" ht="30" customHeight="1" spans="1:11">
      <c r="A157" s="3">
        <v>3982</v>
      </c>
      <c r="B157" s="3" t="str">
        <f>"罗霞"</f>
        <v>罗霞</v>
      </c>
      <c r="C157" s="3" t="str">
        <f t="shared" si="15"/>
        <v>女</v>
      </c>
      <c r="D157" s="3" t="str">
        <f t="shared" si="16"/>
        <v>汉族</v>
      </c>
      <c r="E157" s="3" t="str">
        <f>"202140042020"</f>
        <v>202140042020</v>
      </c>
      <c r="F157" s="3" t="s">
        <v>125</v>
      </c>
      <c r="G157" s="3" t="s">
        <v>125</v>
      </c>
      <c r="H157" s="3" t="str">
        <f t="shared" si="17"/>
        <v>40</v>
      </c>
      <c r="I157" s="7">
        <v>72.9</v>
      </c>
      <c r="J157" s="7">
        <v>85.4</v>
      </c>
      <c r="K157" s="8">
        <v>77.9</v>
      </c>
    </row>
    <row r="158" ht="30" customHeight="1" spans="1:11">
      <c r="A158" s="3">
        <v>4007</v>
      </c>
      <c r="B158" s="3" t="str">
        <f>"张慧"</f>
        <v>张慧</v>
      </c>
      <c r="C158" s="3" t="str">
        <f t="shared" si="15"/>
        <v>女</v>
      </c>
      <c r="D158" s="3" t="str">
        <f t="shared" si="16"/>
        <v>汉族</v>
      </c>
      <c r="E158" s="3" t="str">
        <f>"202140042529"</f>
        <v>202140042529</v>
      </c>
      <c r="F158" s="3" t="s">
        <v>125</v>
      </c>
      <c r="G158" s="3" t="s">
        <v>125</v>
      </c>
      <c r="H158" s="3" t="str">
        <f t="shared" si="17"/>
        <v>40</v>
      </c>
      <c r="I158" s="7">
        <v>73.35</v>
      </c>
      <c r="J158" s="7">
        <v>83.2</v>
      </c>
      <c r="K158" s="8">
        <v>77.29</v>
      </c>
    </row>
    <row r="159" ht="30" customHeight="1" spans="1:11">
      <c r="A159" s="3">
        <v>4017</v>
      </c>
      <c r="B159" s="3" t="str">
        <f>"吴茵"</f>
        <v>吴茵</v>
      </c>
      <c r="C159" s="3" t="str">
        <f t="shared" si="15"/>
        <v>女</v>
      </c>
      <c r="D159" s="3" t="str">
        <f t="shared" si="16"/>
        <v>汉族</v>
      </c>
      <c r="E159" s="3" t="str">
        <f>"202140042726"</f>
        <v>202140042726</v>
      </c>
      <c r="F159" s="3" t="s">
        <v>125</v>
      </c>
      <c r="G159" s="3" t="s">
        <v>125</v>
      </c>
      <c r="H159" s="3" t="str">
        <f t="shared" si="17"/>
        <v>40</v>
      </c>
      <c r="I159" s="7">
        <v>71.55</v>
      </c>
      <c r="J159" s="7">
        <v>85.5</v>
      </c>
      <c r="K159" s="8">
        <v>77.13</v>
      </c>
    </row>
    <row r="160" ht="30" customHeight="1" spans="1:11">
      <c r="A160" s="3">
        <v>4113</v>
      </c>
      <c r="B160" s="3" t="str">
        <f>"刘佑平"</f>
        <v>刘佑平</v>
      </c>
      <c r="C160" s="3" t="str">
        <f t="shared" si="15"/>
        <v>女</v>
      </c>
      <c r="D160" s="3" t="str">
        <f t="shared" si="16"/>
        <v>汉族</v>
      </c>
      <c r="E160" s="3" t="str">
        <f>"202140042704"</f>
        <v>202140042704</v>
      </c>
      <c r="F160" s="3" t="s">
        <v>125</v>
      </c>
      <c r="G160" s="3" t="s">
        <v>125</v>
      </c>
      <c r="H160" s="3" t="str">
        <f t="shared" si="17"/>
        <v>40</v>
      </c>
      <c r="I160" s="7">
        <v>71.4</v>
      </c>
      <c r="J160" s="7">
        <v>85.3</v>
      </c>
      <c r="K160" s="8">
        <v>76.96</v>
      </c>
    </row>
    <row r="161" ht="30" customHeight="1" spans="1:11">
      <c r="A161" s="3">
        <v>4192</v>
      </c>
      <c r="B161" s="3" t="str">
        <f>"刘冬冬"</f>
        <v>刘冬冬</v>
      </c>
      <c r="C161" s="3" t="str">
        <f t="shared" si="15"/>
        <v>女</v>
      </c>
      <c r="D161" s="3" t="str">
        <f t="shared" si="16"/>
        <v>汉族</v>
      </c>
      <c r="E161" s="3" t="str">
        <f>"202140042527"</f>
        <v>202140042527</v>
      </c>
      <c r="F161" s="3" t="s">
        <v>125</v>
      </c>
      <c r="G161" s="3" t="s">
        <v>125</v>
      </c>
      <c r="H161" s="3" t="str">
        <f t="shared" si="17"/>
        <v>40</v>
      </c>
      <c r="I161" s="7">
        <v>71.9</v>
      </c>
      <c r="J161" s="7">
        <v>84.1</v>
      </c>
      <c r="K161" s="8">
        <v>76.78</v>
      </c>
    </row>
    <row r="162" ht="30" customHeight="1" spans="1:11">
      <c r="A162" s="3">
        <v>4110</v>
      </c>
      <c r="B162" s="3" t="str">
        <f>"刘婵娟"</f>
        <v>刘婵娟</v>
      </c>
      <c r="C162" s="3" t="str">
        <f t="shared" si="15"/>
        <v>女</v>
      </c>
      <c r="D162" s="3" t="str">
        <f t="shared" si="16"/>
        <v>汉族</v>
      </c>
      <c r="E162" s="3" t="str">
        <f>"202140042305"</f>
        <v>202140042305</v>
      </c>
      <c r="F162" s="3" t="s">
        <v>125</v>
      </c>
      <c r="G162" s="3" t="s">
        <v>125</v>
      </c>
      <c r="H162" s="3" t="str">
        <f t="shared" si="17"/>
        <v>40</v>
      </c>
      <c r="I162" s="7">
        <v>70.9</v>
      </c>
      <c r="J162" s="7">
        <v>85.2</v>
      </c>
      <c r="K162" s="8">
        <v>76.62</v>
      </c>
    </row>
    <row r="163" ht="30" customHeight="1" spans="1:11">
      <c r="A163" s="3">
        <v>4142</v>
      </c>
      <c r="B163" s="3" t="str">
        <f>"张芬"</f>
        <v>张芬</v>
      </c>
      <c r="C163" s="3" t="str">
        <f t="shared" si="15"/>
        <v>女</v>
      </c>
      <c r="D163" s="3" t="str">
        <f>"苗族"</f>
        <v>苗族</v>
      </c>
      <c r="E163" s="3" t="str">
        <f>"202140042723"</f>
        <v>202140042723</v>
      </c>
      <c r="F163" s="3" t="s">
        <v>125</v>
      </c>
      <c r="G163" s="3" t="s">
        <v>125</v>
      </c>
      <c r="H163" s="3" t="str">
        <f t="shared" si="17"/>
        <v>40</v>
      </c>
      <c r="I163" s="7">
        <v>71.65</v>
      </c>
      <c r="J163" s="7">
        <v>83.8</v>
      </c>
      <c r="K163" s="8">
        <v>76.51</v>
      </c>
    </row>
    <row r="164" ht="30" customHeight="1" spans="1:11">
      <c r="A164" s="3">
        <v>3913</v>
      </c>
      <c r="B164" s="3" t="str">
        <f>"欧长红"</f>
        <v>欧长红</v>
      </c>
      <c r="C164" s="3" t="str">
        <f t="shared" si="15"/>
        <v>女</v>
      </c>
      <c r="D164" s="3" t="str">
        <f>"汉族"</f>
        <v>汉族</v>
      </c>
      <c r="E164" s="3" t="str">
        <f>"202140042606"</f>
        <v>202140042606</v>
      </c>
      <c r="F164" s="3" t="s">
        <v>125</v>
      </c>
      <c r="G164" s="3" t="s">
        <v>125</v>
      </c>
      <c r="H164" s="3" t="str">
        <f t="shared" si="17"/>
        <v>40</v>
      </c>
      <c r="I164" s="7">
        <v>74.4</v>
      </c>
      <c r="J164" s="11" t="s">
        <v>52</v>
      </c>
      <c r="K164" s="8">
        <v>44.64</v>
      </c>
    </row>
    <row r="165" ht="30" customHeight="1" spans="1:11">
      <c r="A165" s="3">
        <v>4258</v>
      </c>
      <c r="B165" s="3" t="str">
        <f>"高滢洁"</f>
        <v>高滢洁</v>
      </c>
      <c r="C165" s="3" t="str">
        <f t="shared" si="15"/>
        <v>女</v>
      </c>
      <c r="D165" s="3" t="str">
        <f>"汉族"</f>
        <v>汉族</v>
      </c>
      <c r="E165" s="3" t="str">
        <f>"202141042905"</f>
        <v>202141042905</v>
      </c>
      <c r="F165" s="3" t="s">
        <v>125</v>
      </c>
      <c r="G165" s="3" t="s">
        <v>126</v>
      </c>
      <c r="H165" s="3" t="str">
        <f t="shared" ref="H165:H174" si="18">"41"</f>
        <v>41</v>
      </c>
      <c r="I165" s="7">
        <v>79.5</v>
      </c>
      <c r="J165" s="7">
        <v>83.6</v>
      </c>
      <c r="K165" s="8">
        <v>81.14</v>
      </c>
    </row>
    <row r="166" ht="30" customHeight="1" spans="1:11">
      <c r="A166" s="3">
        <v>4219</v>
      </c>
      <c r="B166" s="3" t="str">
        <f>"粟洋"</f>
        <v>粟洋</v>
      </c>
      <c r="C166" s="3" t="str">
        <f t="shared" si="15"/>
        <v>女</v>
      </c>
      <c r="D166" s="3" t="str">
        <f>"汉族"</f>
        <v>汉族</v>
      </c>
      <c r="E166" s="3" t="str">
        <f>"202141043006"</f>
        <v>202141043006</v>
      </c>
      <c r="F166" s="3" t="s">
        <v>125</v>
      </c>
      <c r="G166" s="3" t="s">
        <v>126</v>
      </c>
      <c r="H166" s="3" t="str">
        <f t="shared" si="18"/>
        <v>41</v>
      </c>
      <c r="I166" s="7">
        <v>72.85</v>
      </c>
      <c r="J166" s="7">
        <v>84.8</v>
      </c>
      <c r="K166" s="8">
        <v>77.63</v>
      </c>
    </row>
    <row r="167" ht="30" customHeight="1" spans="1:11">
      <c r="A167" s="3">
        <v>4232</v>
      </c>
      <c r="B167" s="3" t="str">
        <f>"李楠艺"</f>
        <v>李楠艺</v>
      </c>
      <c r="C167" s="3" t="str">
        <f t="shared" si="15"/>
        <v>女</v>
      </c>
      <c r="D167" s="3" t="str">
        <f>"汉族"</f>
        <v>汉族</v>
      </c>
      <c r="E167" s="3" t="str">
        <f>"202141043004"</f>
        <v>202141043004</v>
      </c>
      <c r="F167" s="3" t="s">
        <v>125</v>
      </c>
      <c r="G167" s="3" t="s">
        <v>126</v>
      </c>
      <c r="H167" s="3" t="str">
        <f t="shared" si="18"/>
        <v>41</v>
      </c>
      <c r="I167" s="7">
        <v>68.9</v>
      </c>
      <c r="J167" s="7">
        <v>89.6</v>
      </c>
      <c r="K167" s="8">
        <v>77.18</v>
      </c>
    </row>
    <row r="168" ht="30" customHeight="1" spans="1:11">
      <c r="A168" s="3">
        <v>4236</v>
      </c>
      <c r="B168" s="3" t="str">
        <f>"朱乙丹"</f>
        <v>朱乙丹</v>
      </c>
      <c r="C168" s="3" t="str">
        <f t="shared" si="15"/>
        <v>女</v>
      </c>
      <c r="D168" s="3" t="str">
        <f>"瑶族"</f>
        <v>瑶族</v>
      </c>
      <c r="E168" s="3" t="str">
        <f>"202141043020"</f>
        <v>202141043020</v>
      </c>
      <c r="F168" s="3" t="s">
        <v>125</v>
      </c>
      <c r="G168" s="3" t="s">
        <v>126</v>
      </c>
      <c r="H168" s="3" t="str">
        <f t="shared" si="18"/>
        <v>41</v>
      </c>
      <c r="I168" s="7">
        <v>69.1</v>
      </c>
      <c r="J168" s="7">
        <v>87.6</v>
      </c>
      <c r="K168" s="8">
        <v>76.5</v>
      </c>
    </row>
    <row r="169" ht="30" customHeight="1" spans="1:11">
      <c r="A169" s="3">
        <v>4224</v>
      </c>
      <c r="B169" s="3" t="str">
        <f>"孙琪"</f>
        <v>孙琪</v>
      </c>
      <c r="C169" s="3" t="str">
        <f t="shared" si="15"/>
        <v>女</v>
      </c>
      <c r="D169" s="3" t="str">
        <f t="shared" ref="D169:D182" si="19">"汉族"</f>
        <v>汉族</v>
      </c>
      <c r="E169" s="3" t="str">
        <f>"202141042904"</f>
        <v>202141042904</v>
      </c>
      <c r="F169" s="3" t="s">
        <v>125</v>
      </c>
      <c r="G169" s="3" t="s">
        <v>126</v>
      </c>
      <c r="H169" s="3" t="str">
        <f t="shared" si="18"/>
        <v>41</v>
      </c>
      <c r="I169" s="7">
        <v>68.25</v>
      </c>
      <c r="J169" s="7">
        <v>86.3</v>
      </c>
      <c r="K169" s="8">
        <v>75.47</v>
      </c>
    </row>
    <row r="170" ht="30" customHeight="1" spans="1:11">
      <c r="A170" s="3">
        <v>4235</v>
      </c>
      <c r="B170" s="3" t="str">
        <f>"黄文萍"</f>
        <v>黄文萍</v>
      </c>
      <c r="C170" s="3" t="str">
        <f t="shared" si="15"/>
        <v>女</v>
      </c>
      <c r="D170" s="3" t="str">
        <f t="shared" si="19"/>
        <v>汉族</v>
      </c>
      <c r="E170" s="3" t="str">
        <f>"202141043012"</f>
        <v>202141043012</v>
      </c>
      <c r="F170" s="3" t="s">
        <v>125</v>
      </c>
      <c r="G170" s="3" t="s">
        <v>126</v>
      </c>
      <c r="H170" s="3" t="str">
        <f t="shared" si="18"/>
        <v>41</v>
      </c>
      <c r="I170" s="7">
        <v>67.3</v>
      </c>
      <c r="J170" s="7">
        <v>86.1</v>
      </c>
      <c r="K170" s="8">
        <v>74.82</v>
      </c>
    </row>
    <row r="171" ht="30" customHeight="1" spans="1:11">
      <c r="A171" s="3">
        <v>4234</v>
      </c>
      <c r="B171" s="3" t="str">
        <f>"李蓉"</f>
        <v>李蓉</v>
      </c>
      <c r="C171" s="3" t="str">
        <f t="shared" si="15"/>
        <v>女</v>
      </c>
      <c r="D171" s="3" t="str">
        <f t="shared" si="19"/>
        <v>汉族</v>
      </c>
      <c r="E171" s="3" t="str">
        <f>"202141042928"</f>
        <v>202141042928</v>
      </c>
      <c r="F171" s="3" t="s">
        <v>125</v>
      </c>
      <c r="G171" s="3" t="s">
        <v>126</v>
      </c>
      <c r="H171" s="3" t="str">
        <f t="shared" si="18"/>
        <v>41</v>
      </c>
      <c r="I171" s="7">
        <v>65.8</v>
      </c>
      <c r="J171" s="7">
        <v>84.6</v>
      </c>
      <c r="K171" s="8">
        <v>73.32</v>
      </c>
    </row>
    <row r="172" ht="30" customHeight="1" spans="1:11">
      <c r="A172" s="3">
        <v>4209</v>
      </c>
      <c r="B172" s="3" t="str">
        <f>"刘青"</f>
        <v>刘青</v>
      </c>
      <c r="C172" s="3" t="str">
        <f t="shared" si="15"/>
        <v>女</v>
      </c>
      <c r="D172" s="3" t="str">
        <f t="shared" si="19"/>
        <v>汉族</v>
      </c>
      <c r="E172" s="3" t="str">
        <f>"202141043014"</f>
        <v>202141043014</v>
      </c>
      <c r="F172" s="3" t="s">
        <v>125</v>
      </c>
      <c r="G172" s="3" t="s">
        <v>126</v>
      </c>
      <c r="H172" s="3" t="str">
        <f t="shared" si="18"/>
        <v>41</v>
      </c>
      <c r="I172" s="7">
        <v>67.4</v>
      </c>
      <c r="J172" s="7">
        <v>80.8</v>
      </c>
      <c r="K172" s="8">
        <v>72.76</v>
      </c>
    </row>
    <row r="173" ht="30" customHeight="1" spans="1:11">
      <c r="A173" s="3">
        <v>4220</v>
      </c>
      <c r="B173" s="3" t="str">
        <f>"申恬"</f>
        <v>申恬</v>
      </c>
      <c r="C173" s="3" t="str">
        <f t="shared" si="15"/>
        <v>女</v>
      </c>
      <c r="D173" s="3" t="str">
        <f t="shared" si="19"/>
        <v>汉族</v>
      </c>
      <c r="E173" s="3" t="str">
        <f>"202141042828"</f>
        <v>202141042828</v>
      </c>
      <c r="F173" s="3" t="s">
        <v>125</v>
      </c>
      <c r="G173" s="3" t="s">
        <v>126</v>
      </c>
      <c r="H173" s="3" t="str">
        <f t="shared" si="18"/>
        <v>41</v>
      </c>
      <c r="I173" s="7">
        <v>73.7</v>
      </c>
      <c r="J173" s="11" t="s">
        <v>52</v>
      </c>
      <c r="K173" s="8">
        <v>44.22</v>
      </c>
    </row>
    <row r="174" ht="30" customHeight="1" spans="1:11">
      <c r="A174" s="3">
        <v>4249</v>
      </c>
      <c r="B174" s="3" t="str">
        <f>"蔡国敏"</f>
        <v>蔡国敏</v>
      </c>
      <c r="C174" s="3" t="str">
        <f t="shared" si="15"/>
        <v>女</v>
      </c>
      <c r="D174" s="3" t="str">
        <f t="shared" si="19"/>
        <v>汉族</v>
      </c>
      <c r="E174" s="3" t="str">
        <f>"202141042916"</f>
        <v>202141042916</v>
      </c>
      <c r="F174" s="3" t="s">
        <v>125</v>
      </c>
      <c r="G174" s="3" t="s">
        <v>126</v>
      </c>
      <c r="H174" s="3" t="str">
        <f t="shared" si="18"/>
        <v>41</v>
      </c>
      <c r="I174" s="7">
        <v>66.3</v>
      </c>
      <c r="J174" s="11" t="s">
        <v>52</v>
      </c>
      <c r="K174" s="8">
        <v>39.78</v>
      </c>
    </row>
    <row r="175" ht="30" customHeight="1" spans="1:11">
      <c r="A175" s="3">
        <v>4264</v>
      </c>
      <c r="B175" s="3" t="str">
        <f>"李希文"</f>
        <v>李希文</v>
      </c>
      <c r="C175" s="3" t="str">
        <f t="shared" si="15"/>
        <v>女</v>
      </c>
      <c r="D175" s="3" t="str">
        <f t="shared" si="19"/>
        <v>汉族</v>
      </c>
      <c r="E175" s="3" t="str">
        <f>"202105022503"</f>
        <v>202105022503</v>
      </c>
      <c r="F175" s="3" t="s">
        <v>12</v>
      </c>
      <c r="G175" s="3" t="s">
        <v>123</v>
      </c>
      <c r="H175" s="3" t="str">
        <f>"5"</f>
        <v>5</v>
      </c>
      <c r="I175" s="7">
        <v>88.15</v>
      </c>
      <c r="J175" s="7">
        <v>82.52</v>
      </c>
      <c r="K175" s="8">
        <v>85.898</v>
      </c>
    </row>
    <row r="176" ht="30" customHeight="1" spans="1:11">
      <c r="A176" s="3">
        <v>4269</v>
      </c>
      <c r="B176" s="3" t="str">
        <f>"贺阿凤"</f>
        <v>贺阿凤</v>
      </c>
      <c r="C176" s="3" t="str">
        <f t="shared" si="15"/>
        <v>女</v>
      </c>
      <c r="D176" s="3" t="str">
        <f t="shared" si="19"/>
        <v>汉族</v>
      </c>
      <c r="E176" s="3" t="str">
        <f>"202105022518"</f>
        <v>202105022518</v>
      </c>
      <c r="F176" s="3" t="s">
        <v>12</v>
      </c>
      <c r="G176" s="3" t="s">
        <v>123</v>
      </c>
      <c r="H176" s="3" t="str">
        <f>"5"</f>
        <v>5</v>
      </c>
      <c r="I176" s="7">
        <v>86</v>
      </c>
      <c r="J176" s="7">
        <v>76</v>
      </c>
      <c r="K176" s="8">
        <v>82</v>
      </c>
    </row>
    <row r="177" ht="30" customHeight="1" spans="1:11">
      <c r="A177" s="3">
        <v>4349</v>
      </c>
      <c r="B177" s="3" t="str">
        <f>"唐鸿景"</f>
        <v>唐鸿景</v>
      </c>
      <c r="C177" s="3" t="str">
        <f t="shared" si="15"/>
        <v>女</v>
      </c>
      <c r="D177" s="3" t="str">
        <f t="shared" si="19"/>
        <v>汉族</v>
      </c>
      <c r="E177" s="3" t="str">
        <f>"202106022622"</f>
        <v>202106022622</v>
      </c>
      <c r="F177" s="3" t="s">
        <v>12</v>
      </c>
      <c r="G177" s="3" t="s">
        <v>124</v>
      </c>
      <c r="H177" s="3" t="str">
        <f>"6"</f>
        <v>6</v>
      </c>
      <c r="I177" s="7">
        <v>88.1</v>
      </c>
      <c r="J177" s="7">
        <v>89.52</v>
      </c>
      <c r="K177" s="8">
        <v>88.668</v>
      </c>
    </row>
    <row r="178" ht="30" customHeight="1" spans="1:11">
      <c r="A178" s="3">
        <v>4352</v>
      </c>
      <c r="B178" s="3" t="str">
        <f>"刘慧"</f>
        <v>刘慧</v>
      </c>
      <c r="C178" s="3" t="str">
        <f t="shared" si="15"/>
        <v>女</v>
      </c>
      <c r="D178" s="3" t="str">
        <f t="shared" si="19"/>
        <v>汉族</v>
      </c>
      <c r="E178" s="3" t="str">
        <f>"202106022625"</f>
        <v>202106022625</v>
      </c>
      <c r="F178" s="3" t="s">
        <v>12</v>
      </c>
      <c r="G178" s="3" t="s">
        <v>124</v>
      </c>
      <c r="H178" s="3" t="str">
        <f>"6"</f>
        <v>6</v>
      </c>
      <c r="I178" s="7">
        <v>81.75</v>
      </c>
      <c r="J178" s="7">
        <v>0</v>
      </c>
      <c r="K178" s="8">
        <v>49.05</v>
      </c>
    </row>
    <row r="179" ht="30" customHeight="1" spans="1:11">
      <c r="A179" s="3">
        <v>4390</v>
      </c>
      <c r="B179" s="3" t="str">
        <f>"刘后意"</f>
        <v>刘后意</v>
      </c>
      <c r="C179" s="3" t="str">
        <f>"男"</f>
        <v>男</v>
      </c>
      <c r="D179" s="3" t="str">
        <f t="shared" si="19"/>
        <v>汉族</v>
      </c>
      <c r="E179" s="3" t="str">
        <f>"202107022819"</f>
        <v>202107022819</v>
      </c>
      <c r="F179" s="3" t="s">
        <v>12</v>
      </c>
      <c r="G179" s="3" t="s">
        <v>127</v>
      </c>
      <c r="H179" s="3" t="str">
        <f>"7"</f>
        <v>7</v>
      </c>
      <c r="I179" s="7">
        <v>91.6</v>
      </c>
      <c r="J179" s="7">
        <v>88.6</v>
      </c>
      <c r="K179" s="8">
        <v>90.4</v>
      </c>
    </row>
    <row r="180" ht="30" customHeight="1" spans="1:11">
      <c r="A180" s="3">
        <v>4393</v>
      </c>
      <c r="B180" s="3" t="str">
        <f>"吕文建"</f>
        <v>吕文建</v>
      </c>
      <c r="C180" s="3" t="str">
        <f>"女"</f>
        <v>女</v>
      </c>
      <c r="D180" s="3" t="str">
        <f t="shared" si="19"/>
        <v>汉族</v>
      </c>
      <c r="E180" s="3" t="str">
        <f>"202107022814"</f>
        <v>202107022814</v>
      </c>
      <c r="F180" s="3" t="s">
        <v>12</v>
      </c>
      <c r="G180" s="3" t="s">
        <v>127</v>
      </c>
      <c r="H180" s="3" t="str">
        <f>"7"</f>
        <v>7</v>
      </c>
      <c r="I180" s="7">
        <v>91.1</v>
      </c>
      <c r="J180" s="7">
        <v>84.6</v>
      </c>
      <c r="K180" s="8">
        <v>88.5</v>
      </c>
    </row>
    <row r="181" ht="30" customHeight="1" spans="1:11">
      <c r="A181" s="3">
        <v>4387</v>
      </c>
      <c r="B181" s="3" t="str">
        <f>"易新颖"</f>
        <v>易新颖</v>
      </c>
      <c r="C181" s="3" t="str">
        <f>"男"</f>
        <v>男</v>
      </c>
      <c r="D181" s="3" t="str">
        <f t="shared" si="19"/>
        <v>汉族</v>
      </c>
      <c r="E181" s="3" t="str">
        <f>"202107022813"</f>
        <v>202107022813</v>
      </c>
      <c r="F181" s="3" t="s">
        <v>12</v>
      </c>
      <c r="G181" s="3" t="s">
        <v>127</v>
      </c>
      <c r="H181" s="3" t="str">
        <f>"7"</f>
        <v>7</v>
      </c>
      <c r="I181" s="7">
        <v>91.1</v>
      </c>
      <c r="J181" s="7">
        <v>79.4</v>
      </c>
      <c r="K181" s="8">
        <v>86.42</v>
      </c>
    </row>
    <row r="182" ht="30" customHeight="1" spans="1:11">
      <c r="A182" s="3">
        <v>4396</v>
      </c>
      <c r="B182" s="3" t="str">
        <f>"朱思颖"</f>
        <v>朱思颖</v>
      </c>
      <c r="C182" s="3" t="str">
        <f>"女"</f>
        <v>女</v>
      </c>
      <c r="D182" s="3" t="str">
        <f t="shared" si="19"/>
        <v>汉族</v>
      </c>
      <c r="E182" s="3" t="str">
        <f>"202108023127"</f>
        <v>202108023127</v>
      </c>
      <c r="F182" s="3" t="s">
        <v>12</v>
      </c>
      <c r="G182" s="3" t="s">
        <v>17</v>
      </c>
      <c r="H182" s="3" t="str">
        <f>"8"</f>
        <v>8</v>
      </c>
      <c r="I182" s="7">
        <v>68.6</v>
      </c>
      <c r="J182" s="7">
        <v>84.2</v>
      </c>
      <c r="K182" s="8">
        <v>74.84</v>
      </c>
    </row>
    <row r="183" ht="30" customHeight="1" spans="1:11">
      <c r="A183" s="3">
        <v>4395</v>
      </c>
      <c r="B183" s="3" t="str">
        <f>"袁雪连"</f>
        <v>袁雪连</v>
      </c>
      <c r="C183" s="3" t="str">
        <f>"女"</f>
        <v>女</v>
      </c>
      <c r="D183" s="3" t="str">
        <f>"苗族"</f>
        <v>苗族</v>
      </c>
      <c r="E183" s="3" t="str">
        <f>"202108023129"</f>
        <v>202108023129</v>
      </c>
      <c r="F183" s="3" t="s">
        <v>12</v>
      </c>
      <c r="G183" s="3" t="s">
        <v>17</v>
      </c>
      <c r="H183" s="3" t="str">
        <f>"8"</f>
        <v>8</v>
      </c>
      <c r="I183" s="7">
        <v>64.95</v>
      </c>
      <c r="J183" s="7">
        <v>0</v>
      </c>
      <c r="K183" s="8">
        <v>38.97</v>
      </c>
    </row>
    <row r="184" ht="30" customHeight="1" spans="1:11">
      <c r="A184" s="3">
        <v>4398</v>
      </c>
      <c r="B184" s="3" t="str">
        <f>"王敏"</f>
        <v>王敏</v>
      </c>
      <c r="C184" s="3" t="str">
        <f>"女"</f>
        <v>女</v>
      </c>
      <c r="D184" s="3" t="str">
        <f>"汉族"</f>
        <v>汉族</v>
      </c>
      <c r="E184" s="3" t="str">
        <f>"202109023206"</f>
        <v>202109023206</v>
      </c>
      <c r="F184" s="3" t="s">
        <v>12</v>
      </c>
      <c r="G184" s="3" t="s">
        <v>58</v>
      </c>
      <c r="H184" s="3" t="str">
        <f>"9"</f>
        <v>9</v>
      </c>
      <c r="I184" s="7">
        <v>71.9</v>
      </c>
      <c r="J184" s="7">
        <v>82.94</v>
      </c>
      <c r="K184" s="8">
        <v>76.316</v>
      </c>
    </row>
    <row r="185" ht="30" customHeight="1" spans="1:11">
      <c r="A185" s="3">
        <v>4399</v>
      </c>
      <c r="B185" s="3" t="str">
        <f>"曾旭"</f>
        <v>曾旭</v>
      </c>
      <c r="C185" s="3" t="str">
        <f>"女"</f>
        <v>女</v>
      </c>
      <c r="D185" s="3" t="str">
        <f>"汉族"</f>
        <v>汉族</v>
      </c>
      <c r="E185" s="3" t="str">
        <f>"202109023207"</f>
        <v>202109023207</v>
      </c>
      <c r="F185" s="3" t="s">
        <v>12</v>
      </c>
      <c r="G185" s="3" t="s">
        <v>58</v>
      </c>
      <c r="H185" s="3" t="str">
        <f>"9"</f>
        <v>9</v>
      </c>
      <c r="I185" s="7">
        <v>68.9</v>
      </c>
      <c r="J185" s="7">
        <v>84.46</v>
      </c>
      <c r="K185" s="8">
        <v>75.124</v>
      </c>
    </row>
  </sheetData>
  <sortState ref="A2:N184">
    <sortCondition ref="H2:H184"/>
    <sortCondition ref="K2:K184" descending="1"/>
  </sortState>
  <mergeCells count="1">
    <mergeCell ref="A1:K1"/>
  </mergeCells>
  <pageMargins left="0.251388888888889" right="0.251388888888889" top="0.751388888888889" bottom="0.751388888888889" header="0.298611111111111" footer="0.298611111111111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泡芙</cp:lastModifiedBy>
  <dcterms:created xsi:type="dcterms:W3CDTF">2021-07-05T00:44:00Z</dcterms:created>
  <dcterms:modified xsi:type="dcterms:W3CDTF">2021-07-13T01:03:31Z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4792D1945FDF473E9BA065A4DA5824DD</vt:lpwstr>
  </property>
  <property fmtid="{D5CDD505-2E9C-101B-9397-08002B2CF9AE}" pid="3" name="KSOProductBuildVer">
    <vt:lpwstr>2052-11.1.0.10578</vt:lpwstr>
  </property>
</Properties>
</file>